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9360" windowHeight="5025" tabRatio="601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'Arkusz1'!$A$1:$F$347</definedName>
  </definedNames>
  <calcPr fullCalcOnLoad="1"/>
</workbook>
</file>

<file path=xl/sharedStrings.xml><?xml version="1.0" encoding="utf-8"?>
<sst xmlns="http://schemas.openxmlformats.org/spreadsheetml/2006/main" count="374" uniqueCount="242">
  <si>
    <t>wydatki majątkowe- zakup autobusu do przewozu uczniów niepełnosprawnych do szkoły - zakupiono 16-miejscowy autobus przystosowany przewozu osób niepełnosprawnych wyposazony w winde dla wózków inwalidzkich. Zakup autobusu został wspólfinansowany przez PFRON - wydatek funduszu to 138.178 zł</t>
  </si>
  <si>
    <t>3.Modernizacja zabytkowego parku miejskiego w Wołczynie- wykonano zabruk alei parkowej.</t>
  </si>
  <si>
    <t>1.Wynagrodzenia i pochodne od wynagrodzeń (wydatki na kwotę 6.836 zł- realizowane przez Urząd Miejski- wydatki związane z utworzeniem liceum )</t>
  </si>
  <si>
    <t>2.Pozostałe wydatki bieżące: (wydatki na kwotę 6.827,22 zł- realizowane przez Urząd Miejski- wydatki związane z utworzeniem liceum )</t>
  </si>
  <si>
    <t>II. wydatki gimnazjum na wyposażenie stołówki</t>
  </si>
  <si>
    <t>III. Prace społecznie -użyteczne</t>
  </si>
  <si>
    <t>wydatki majątkowe- Modernizacja oczyszczalni ścieków w Wołczynie - opracowano opinie do koncepcji modernizacji oczyszczalni ścieków w Wołczynie oraz specyfikację istotnych warunków zamówienia na potrzeby postępowania przetargowego na projekt modernizacji oczyszczalni.</t>
  </si>
  <si>
    <t xml:space="preserve">wydatki majątkowe- Rekultywacja miejskiego składowiska odpadów komunalnych - wykonano kolejny etap rekultywacji składowiska , w ramach prac wykonano min. odkrywkę rekultywacyjna wyeksploatowanej części składowiska . </t>
  </si>
  <si>
    <t>II. wydatki majątkowe</t>
  </si>
  <si>
    <t>Składki na ubezpieczenia zdrowotne opłacane za osoby pobierające niektóre świadczenia z pomocy społecznej oraz niektóre świadczenia rodzinne</t>
  </si>
  <si>
    <t>Wydatki bieżące- wydatki na zarząd mieniem komunalnym</t>
  </si>
  <si>
    <t>EDUKACYJNA OPIEKA WYCHOWAWCZA  (wg zał. Nr 1)</t>
  </si>
  <si>
    <t>Wydatki bieżące- wykaszanie traw , usuwanie chwastów , wykonywanie prac pielęgnacyjnych , usuwanie wiatrołomów, suchych konarów - wykonywane przez PGKiM</t>
  </si>
  <si>
    <t>2.pozostałe wydatki bieżące- oświetlenie ulic i eksploatacja oświetlenia</t>
  </si>
  <si>
    <t>1.wynagrodzenia i pochodne od wynagrodzeń- zatrudnienie ratowników  na basen miejski</t>
  </si>
  <si>
    <t>Wydatki bieżące- obsługa długu (odsetki i koszty uzysk. kredytów)</t>
  </si>
  <si>
    <t xml:space="preserve">2. Pozostałe wydatki bieżące- zakup biletów miesi.na przejazdy do szkoły, zapew. bezpłatnego transportu i opieki w czasie przewozu uczniów szkół podst.i gimnazjum zamieszkałych we właściwych obwodach szkolnych jak również uprawnionych wych. przedszkoli i oddziałów przedszkol. - realizujących roczne obowiązkowe przygotowanie przedszkolne,  zakup biletów na przejazdy środkami komunikacji publicznej dla uczniów niepełnosprawnych i ich opiekunów do przedszkola (realizacja rocznego obowiązkowego przygotowania przedszkolnego) , szkoły podstawowej lub gimnazjum, w tym na dowożenie grupy uczniów niepełnosprawnych i ich opiekunów do Specjalnego Ośrodka Szkolno-Wychowawczego w Kluczborku. . </t>
  </si>
  <si>
    <t>BEZPIECZEŃSTWO PUBLICZNE I OCHRONA PRZECIWPOŻ.</t>
  </si>
  <si>
    <t>Dział</t>
  </si>
  <si>
    <t>Rozdział</t>
  </si>
  <si>
    <t>Treść</t>
  </si>
  <si>
    <t xml:space="preserve">0 1008 </t>
  </si>
  <si>
    <t>0 1095</t>
  </si>
  <si>
    <t>Pozostała działalność</t>
  </si>
  <si>
    <t xml:space="preserve">0 10 </t>
  </si>
  <si>
    <t>Wydatki bieżące</t>
  </si>
  <si>
    <t>Drogi publiczne gminne</t>
  </si>
  <si>
    <t>Gospodarka gruntami i nieruchomościami</t>
  </si>
  <si>
    <t>Urzędy wojewódzkie</t>
  </si>
  <si>
    <t>Rady gmin (miast i miast na prawach powiatu)</t>
  </si>
  <si>
    <t>Urzędy gmin (miast i miast na prawach powiatu)</t>
  </si>
  <si>
    <t>Ochotnicze straże pożarne</t>
  </si>
  <si>
    <t>Obrona cywilna</t>
  </si>
  <si>
    <t>Straż Miejska</t>
  </si>
  <si>
    <t>Gimnazja</t>
  </si>
  <si>
    <t>Dowożenie uczniów do szkół</t>
  </si>
  <si>
    <t>Ośrodki pomocy społecznej</t>
  </si>
  <si>
    <t>Świetlice szkolne</t>
  </si>
  <si>
    <t>Oczyszczanie miast i wsi</t>
  </si>
  <si>
    <t>Utrzymanie zieleni w miastach i gminach</t>
  </si>
  <si>
    <t>Oświetlenie ulic , placów i dróg</t>
  </si>
  <si>
    <t>Domy i ośrodki kultury, świetlice i kluby</t>
  </si>
  <si>
    <t>Biblioteki</t>
  </si>
  <si>
    <t>Zadania w zakresie kultury fizycznej i sportu</t>
  </si>
  <si>
    <t xml:space="preserve"> </t>
  </si>
  <si>
    <t>Usługi opiekuńcze i specjalistyczne usługi opiekuńcze</t>
  </si>
  <si>
    <t>0 10</t>
  </si>
  <si>
    <t>ROLNICTWO I ŁOWIECTWO</t>
  </si>
  <si>
    <t>GOSPODARKA MIESZKANIOWA</t>
  </si>
  <si>
    <t>DZIAŁALNOŚĆ USŁUGOWA</t>
  </si>
  <si>
    <t>ADMINISTRACJA PUBLICZNA</t>
  </si>
  <si>
    <t>OCHRONA ZDROWIA</t>
  </si>
  <si>
    <t>GOSPODARKA KOMUNALNA I OCHRONA ŚRODOWISKA</t>
  </si>
  <si>
    <t>Obiekty sportowe</t>
  </si>
  <si>
    <t>Urzędy naczelnych organów władzy państwowej , kontroli i ochrony prawa</t>
  </si>
  <si>
    <t>KULTURA I OCHRONA DZIEDZICTWA NARODOWEGO</t>
  </si>
  <si>
    <t>KULTURA FIZYCZNA I SPORT</t>
  </si>
  <si>
    <t>OBSŁUGA DŁUGU PUBLICZNEGO</t>
  </si>
  <si>
    <t>Obsługa papierów wartościowych, kredytów i pożyczek jednostek samorządu terytorialnego</t>
  </si>
  <si>
    <t xml:space="preserve">Plan </t>
  </si>
  <si>
    <t>% realizacji planu</t>
  </si>
  <si>
    <t>0 1008</t>
  </si>
  <si>
    <t>RAZEM</t>
  </si>
  <si>
    <t>2.pozostałe wydatki bieżące</t>
  </si>
  <si>
    <t>1.wynagrodzenia i pochodne od wynagrodzeń</t>
  </si>
  <si>
    <t>Wynagrodzenia osobowe pracowników</t>
  </si>
  <si>
    <t xml:space="preserve">1.wynagrodzenia i pochodne od wynagrodzeń       </t>
  </si>
  <si>
    <t>1.dotacje</t>
  </si>
  <si>
    <t>3.pozostałe wydatki bieżące</t>
  </si>
  <si>
    <t xml:space="preserve">Wydatki bieżące, w tym dotacje </t>
  </si>
  <si>
    <t xml:space="preserve">2.wydatki sołectw: </t>
  </si>
  <si>
    <t>2.wydatki sołectw</t>
  </si>
  <si>
    <t>0 1030</t>
  </si>
  <si>
    <t>Izby rolnicze</t>
  </si>
  <si>
    <t>Wydatki bieżące, w tym:</t>
  </si>
  <si>
    <t>Wydatki bieżące  , w tym:</t>
  </si>
  <si>
    <t>Wydatki bieżące , w tym:</t>
  </si>
  <si>
    <t>Wydatki bieżące (Wpłaty gminy na rzecz Izby Rolniczej w Opolu w wysokości 2% uzyskanych wpływów z podatku rolnego)</t>
  </si>
  <si>
    <t>Wydatki bieżące, w tym</t>
  </si>
  <si>
    <t xml:space="preserve">Szkoły podstawowe </t>
  </si>
  <si>
    <t xml:space="preserve">Różne jednostki obsługi gospodarki mieszkaniowej </t>
  </si>
  <si>
    <t xml:space="preserve">Ogółem </t>
  </si>
  <si>
    <t>RÓŻNE ROZLICZENIA</t>
  </si>
  <si>
    <t>Dokształcanie i doskonalenie nauczycieli</t>
  </si>
  <si>
    <t>OŚWIATA I WYCHOWANIE (wydatki wg zał.nr 1)</t>
  </si>
  <si>
    <t>Przeciwdziałanie alkoholizmowi (wg załącznika nr 2)</t>
  </si>
  <si>
    <t>Wydatki sołectw</t>
  </si>
  <si>
    <t>RAZEM WYDATKI</t>
  </si>
  <si>
    <t>1.wynagrodzenia i pochodne od wynagrodzeń,</t>
  </si>
  <si>
    <t xml:space="preserve">2.wydatki sołectw </t>
  </si>
  <si>
    <t>Pozostałe zadania w zakresie kultury</t>
  </si>
  <si>
    <t>Plany zagospodarowania przestrzennego</t>
  </si>
  <si>
    <t>URZĘDY NACZELNYCH ORGANÓW WŁADZY PAŃST.,KONTR. I OCHR. PR ORAZ SĄDOWNICTWA</t>
  </si>
  <si>
    <t>POMOC SPOŁECZNA</t>
  </si>
  <si>
    <t>Ogółem</t>
  </si>
  <si>
    <t>Wydatki bieżące- zadania własne, w tym:</t>
  </si>
  <si>
    <t>Przedszkola</t>
  </si>
  <si>
    <t>Dodatki mieszkaniowe</t>
  </si>
  <si>
    <t xml:space="preserve">1. dotacje dla Domu Kultury i Sztuki oraz na świetlice                                             </t>
  </si>
  <si>
    <t>2.wynagrodzenia i pochodne od wynagrodzeń</t>
  </si>
  <si>
    <t>Pomoc materialna dla uczniów</t>
  </si>
  <si>
    <t>1. Wynagrodzenia i pochodne od wynagrodzeń- koszty wynagrodzeń opiekunów  i kierowcy</t>
  </si>
  <si>
    <t xml:space="preserve">1. ZFŚS nauczycieli emerytów i rencistów </t>
  </si>
  <si>
    <t>TRANSPORT I ŁĄCZNOŚĆ</t>
  </si>
  <si>
    <t>Promocja jednostek samorządu terytorialnego</t>
  </si>
  <si>
    <t>Wydatki majątkowe- E-urząd dla mieszkańca</t>
  </si>
  <si>
    <t xml:space="preserve">DOCHODY OD OSÓB PRAWNYCH, OD OSÓB FIZYCZNYCH I OD INNYCH JEDNOSTEK NIEPOSIADAJĄCYCH OSOBOWOŚCI PRAWNEJ ORAZ WYDATKI ZWIĄZANE Z ICH POBOREM </t>
  </si>
  <si>
    <t xml:space="preserve">Pobór podatków , opłat i niepodatkowych należności budżetowych </t>
  </si>
  <si>
    <t>Wydatki bieżące- zakupy dla ZPiT Modrzewiacy</t>
  </si>
  <si>
    <t>Wydatki bieżące - zadanie zlecone</t>
  </si>
  <si>
    <t xml:space="preserve">1.wynagrodzenia i pochodne od wynagrodzeń                   </t>
  </si>
  <si>
    <t>0 1010</t>
  </si>
  <si>
    <t>Infrastruktura wodociągowa i sanitacyjna wsi</t>
  </si>
  <si>
    <t>1. wynagrodzenia i pochodne od wynagrodzeń</t>
  </si>
  <si>
    <t>wydatki bieżące</t>
  </si>
  <si>
    <t>Gospodarka odpadami</t>
  </si>
  <si>
    <t>1.wydatki sołectw</t>
  </si>
  <si>
    <t xml:space="preserve"> 1.wynagrodzenia i pochodne od wynagrodzeń </t>
  </si>
  <si>
    <t>2. pozostałe wydatki bieżące</t>
  </si>
  <si>
    <t xml:space="preserve">II.Wydatki bieżące , w tym :                  </t>
  </si>
  <si>
    <t>I.Wydatki bieżące, w tym:</t>
  </si>
  <si>
    <t>I.Wydatki bieżące  , w tym:</t>
  </si>
  <si>
    <t>Świadczenia rodzinne , zaliczka alimentacyjna oraz  składki na ubezpieczenia emerytalne i rentowe z ubezpieczenia społecznego</t>
  </si>
  <si>
    <t>I.Wydatki bieżące,w tym:</t>
  </si>
  <si>
    <t>II. Wydatki majątkowe, w tym:</t>
  </si>
  <si>
    <t>II. wydatki majątkowe:, w tym</t>
  </si>
  <si>
    <t xml:space="preserve">I.Wydatki bieżące, w tym:     </t>
  </si>
  <si>
    <t>I.Wydatki bieżące, w  tym:</t>
  </si>
  <si>
    <t>3.pozostałe wydatki- wydatki na organizowanie imprez sportowych oraz przewóz dzieci na zawody sportowe</t>
  </si>
  <si>
    <t>II.wydatki majątkowe, w tym:</t>
  </si>
  <si>
    <t>II. Wydatki majątkowe, w tym;</t>
  </si>
  <si>
    <t>wydatki bieżące, w tym</t>
  </si>
  <si>
    <t>wydatki bieżące; w tym</t>
  </si>
  <si>
    <t>wynagrodzenia i pochodne od wynagrodzeń</t>
  </si>
  <si>
    <t>wydatki związane z bieżącą działalnością jednostek OSP w zakresie utrzymania gotowości bojowej poszczególnych OSP (paliwo do pojazdów, części do napraw, utrzymanie remiz, przeglądy techniczne pojazdów, i sprzętu, ubezpieczenie członków OSP od następstw nieszczęśliwych wypadków , ubezpieczenie budynków OSP, ubezpieczenie pojazdów)</t>
  </si>
  <si>
    <t>I.Wydatki bieżące-Stołówka Miejska, w tym:</t>
  </si>
  <si>
    <t>Sprawozdanie z wykonania wydatków budżetowych za 2006 rok</t>
  </si>
  <si>
    <t>Licea Ogólnokształcace</t>
  </si>
  <si>
    <t>1.Wynagrodzenia i pochodne od wynagrodzeń</t>
  </si>
  <si>
    <t xml:space="preserve">2.wydatki bieżące: odpis na ZFŚS-4.362,61, usługi zdrowotne- 300, wydatki osobowe niezaliczone do wynagrodzeń-1.145,85. W ciągu roku  objętych pomocą było 21 osób . </t>
  </si>
  <si>
    <t>2.pozostałe wydatki bieżące, w tym: wydatki na realizacje programu Socrates-Comenius- 14.712,85</t>
  </si>
  <si>
    <t>0 20</t>
  </si>
  <si>
    <t>0 2001</t>
  </si>
  <si>
    <t>LEŚNICTWO</t>
  </si>
  <si>
    <t>Gospodarka leśna</t>
  </si>
  <si>
    <t>Melioracje wodne</t>
  </si>
  <si>
    <t>Cmentarze</t>
  </si>
  <si>
    <t>Wydatki bieżące( diety -42.292,68, pozostałe- 5.912,66)</t>
  </si>
  <si>
    <t>2. Pozostałe wydatki bieżące (inkaso opłaty targowej- 26.682, prowizje i koszty egzekucyjne- 35.221,81)</t>
  </si>
  <si>
    <t>Gospodarka ściekowa i ochrona wód</t>
  </si>
  <si>
    <t xml:space="preserve">Zasiłki i pomoc w naturze oraz składki na ubezpieczenia emerytalne i rentowe </t>
  </si>
  <si>
    <t>Usuwanie skutków klęsk żywiołowych</t>
  </si>
  <si>
    <t>Ochrona zabytków i opieka nad zabytkami</t>
  </si>
  <si>
    <t>1.Wynagrodzenia i pochodne od wynagrodzeń-</t>
  </si>
  <si>
    <t>Wykonanie</t>
  </si>
  <si>
    <t>WYDATKI MAJĄTKOWE</t>
  </si>
  <si>
    <t>WYDATKI BIEŻĄCE</t>
  </si>
  <si>
    <t>1.wydatki sołectw- wynagrodzenia i pochodne od wynagrodzeń</t>
  </si>
  <si>
    <t>II.Wydatki majątkowe :</t>
  </si>
  <si>
    <t>3. Zakup zmywarki i komputera do szkoły podstawowej w Szymonkowie</t>
  </si>
  <si>
    <t xml:space="preserve">4. Zakup zmywarki do szkoły podstawowej w Wierzbicy Górnej </t>
  </si>
  <si>
    <t>1.Budowa oświetlenia w miejscowościach: Szymonków ul. Kasztanowa, Markotów Duzy, Wałda, Wierzbica Górna, Wasice ul.Ciemna)</t>
  </si>
  <si>
    <t>2. Modernizacja systemu oświetlenia dróg na terenie gminy Wołczyn</t>
  </si>
  <si>
    <t>II.Wydatki majątkowe, w tym:</t>
  </si>
  <si>
    <t>2.Kosze do koszykówki na hale spotowo-widowiskowa w Wołczynie</t>
  </si>
  <si>
    <t>2. pozostałe wydatki bieżące  : zakup materiałów i wyposażenia dla pracowników -4.491,92, ekwiwalent za odziez-190,64, odpis na ZFŚS-6.718, usługi zdrowotne-735, podróże słuzbowe-660,73</t>
  </si>
  <si>
    <t>3.Przyłaczenie budynków zasilanych z wodociągu "Radaczyński" w Brzezinkach do komunalnej sieci wodociągowej- Opracowano mapy sytuacyjne do celów projektowych .</t>
  </si>
  <si>
    <t>2. Modernizacja drogi Krzywiczyny-Świniary Wielkie- wykonano projekt budowlany wraz z pozwoleniem na budowę.</t>
  </si>
  <si>
    <t xml:space="preserve">Wydatki bieżące - związane ze sprzedażą mienia </t>
  </si>
  <si>
    <t>1.Adaptacja budynku szkoły w Wierzbicy Dolnej na cele mieszkalne- wykonanie dokumentacji</t>
  </si>
  <si>
    <t>2. Adaptacja budynku szkoły na lokale socjalne w Markotowie- wykonanie dokumentacji</t>
  </si>
  <si>
    <t>Wydatki bieżące : składki na Związek Gmin Śląska Opolskiego-8.141, diety sołt.za udział w sesjach-12.240, zakup usług pozostałych- 13.740,35</t>
  </si>
  <si>
    <t>1. Budowa ogrzewania pomieszczeń OSP w Wąsicach- wykonano projekt  oraz roboty budowlane.</t>
  </si>
  <si>
    <t>2.pozostałe wydatki bieżące, odpisy na ZFŚS-1.528, zakup materiałów i wyposażenia-5.628,52  , zakup usług pozostałych-8.444,64  (koszty pomieszczenia biurowego, usł.telefoniczne, utrzym.samochodu ), opłaty i składki-663, zakup usług zdrowotnych- 160, umundurowanie-2.208,66</t>
  </si>
  <si>
    <t>1.wynagrodzenia i pochodne od wynagrodzeń (inkaso podatków- 9.554, roznoszenie nakazów- 7.972)</t>
  </si>
  <si>
    <t>2 .Budowa zaplecza socjalnego świetlicy wiejskiej w Skałagach- wykonano dokumentacje projektowo-kosztorysowej oraz uzyskano pozwolenie budowlane.</t>
  </si>
  <si>
    <t>2. Zagospodarowanie źródeł termalnych- opracowano projekt prac geologicznych dla ustalenia zasobów eksploatacyjnych wód podziemnych.</t>
  </si>
  <si>
    <t>wydatki bieżące- administrowanie gminnym składowiskiem odpadów</t>
  </si>
  <si>
    <t>Wpływy i wydatki związane z gromadzeniem środków z opłat i kar za korzystanie ze środowiska</t>
  </si>
  <si>
    <t>2.wydatki sołectw- pozostałe wydatki bieżące</t>
  </si>
  <si>
    <t>1.Przystanek autobusowy w Ligocie Wołczyńskiej - zakupiono i zamontowano wiatę przystankowa.</t>
  </si>
  <si>
    <t>1 .Budowa zaplecza świetlicy wiejskiej w Wierzbicy Górnej-  wykonano roboty wykończeniowe, przyłącza wod.-kan., energetyczne oraz wyposażono obiekt w sprzęt kuchenny.</t>
  </si>
  <si>
    <t>wynagrodzenia i pochodne od wynagrodzeń- wykonano gminna ewidencje zabytków - zawiera ona informacje na temat obiektów zarówno wpisanych do rejestru zabytków jak i opis obiektów posiadających cechy zabytków.</t>
  </si>
  <si>
    <t>1.Budowa ogrodzenia hali sportowo-widowiskowej z boiskami sportowymi-  wykonano ogrodzenie obiektów sportowych z paneli ogrodzeniowych , montaż 3 bram rozwieralnych, 2 furtki oraz 2 piłkochwyty o wymiarach 30mx4m.</t>
  </si>
  <si>
    <t>1.Budowa sieci kanalizacji sanitarnej w Wierzbicy Górnej II etap i w Gierałcicach- wydatek obejmuje aktualizacje Studium wykonalności dla zadania jako opracowania wchodzącego w skład dokumentów dołączonych do wniosku aplikacyjnego o dofinansowanie.</t>
  </si>
  <si>
    <t>2. Budowa sieci wodociągowej Duczów Mały-Jedliska i Wąsice- Wykonano projekt budowlany sieci i przyłączy wodociągowych w Jedliskach.</t>
  </si>
  <si>
    <t>Wydatki bieżące- Opracowano uproszczony plan urządzenia lasu komunalnego w Wierzbicy Górnej oraz inwentaryzacje lasu komunalnego w Wasicach</t>
  </si>
  <si>
    <t>1. W ramach tego zadania zrealizowano: zimowe utrzymanie dróg, remont obiektów mostowych, remont dróg asfaltowych i betonowych przy użyciu grysów i emulsji , remont dróg tłuczniowych, wymiana i usuwanie nowego oznakowania pionowego, odnowienie oznakowania poziomego, przegląd mostów w miejscowościach : Markotów Duży, Wąsice, Szum. W ramach bieżącego utrzymania dróg wykonano remont dróg tłuczniowych - wykonawcę wyłoniono w wyniku przetargu nieograniczonego . Zużyto 1000 ton kamienia bazaltowego o granulacji 0-31,5 mm, którym uzupełniono ubytki na terenie całej gminy. Koszt tego zadania wyniósł 58.940 zł</t>
  </si>
  <si>
    <t>wydatki majątkowe:</t>
  </si>
  <si>
    <t>Wydatki bieżące- utrzymanie cmentarzy komunalnych- 24.009 , utwardzenie alejek na cmentarzu i karczowanie drzew- 31.990,03</t>
  </si>
  <si>
    <t>Wydatki majątkowe- Budowa cmentarza komunalnego w Wołczynie- wykonano dokumentacje oraz  cześć alei głównej i jedną alejkę boczną.</t>
  </si>
  <si>
    <t>Wydatki majątkowe- zakup projektora multimedialnego</t>
  </si>
  <si>
    <t>2. Remont elewacji budynku Urzędu Miejskiego z wymiana stolarki otworowej- wykonano wymianę stolarki okiennej oraz elewacje  z dociepleniem nowej części obiektu.</t>
  </si>
  <si>
    <t>pozostałe wydatki bieżące: zakup materiałów i wyposażenia- 27.253,36, zakup usług pozostałych- 25.871,91, podróże służbowe- 584, opłaty i składki-1.664,20</t>
  </si>
  <si>
    <t>2.Pozostałe wydatki bieżące</t>
  </si>
  <si>
    <t>wydatki majątkowe, w tym:</t>
  </si>
  <si>
    <t>2. Zakup samochodów dla OSP- zakupiono 2 samochody : dla OSP Szum i OSP Wierzbica Dolna</t>
  </si>
  <si>
    <t>Wydatki bieżące- zakupiono radiostacje nasobna wraz z futerałem w celu doposażenia stanowiska Gminnego Zespołu Reagowania.</t>
  </si>
  <si>
    <t>wydatki majątkowe- zakup samochodu dla Strazy Miejskiej</t>
  </si>
  <si>
    <t>Wydatki majątkowe- monitoring miasta Wołczyn</t>
  </si>
  <si>
    <t>Rożne rozliczenia finansowe</t>
  </si>
  <si>
    <t>1. Wymiana pokrycia dachowego budynku Szkoły Podstawowej nr 1 w Wołczynie- wymieniono pokrycie dachowe z dachówki ceramicznej na pokrycie z blachy dachówkopodobnej, wraz z pokryciem wymianie podlegał system odprowadzenia wód opadowych z połaci oraz instalacja odgromowa.</t>
  </si>
  <si>
    <t xml:space="preserve">2.Termomodernizacja budynku szkoły Podstawowej w Komorznie-  Wykonano modernizacje kotłowni , wymieniono kocioł c.o. oraz wymieniono stolarkę okienna. W wyniku realizacji zadania otrzymano nowoczesną, oszczędną , zgodna z wymogami  technicznymi kotłownię. Zbudowano nowy komin z kanałami dymowymi i wentylacyjnymi. </t>
  </si>
  <si>
    <t>1. Adaptacja sali wiejskiej na cele przedszkola w Wasicach- w wyniku realizacji zadania otrzymano pomieszczenie przystosowane do prowadzenia zajęć przedszkolnych.</t>
  </si>
  <si>
    <t>2.Budowa ogrodzenia oddziału przedszkolnego w Wasicach- wykonano nowe ogrodzenie o długości 166m oraz dwie bramy, wykonano również nowa powierzchnie z płytek chodnikowych dojscie do budynku od ulicy.</t>
  </si>
  <si>
    <t xml:space="preserve">1. wynagrodzenia i pochodne ( zatrudnienie pracownika ds.melioracji -20.241 oraz pracowników w ramach prac interwencyjnych) w ramach robót wykonano konserwacje gruntowa rowów melioracyjnych w poszczególnych miejscowościach: Ligota Wołczyńska- 2099mb, Wołczyn-1970 mb, Roznów-1682 mb, Skałągi-850 mb, Wierzbica Górna- 1642 mb, Duczów Mały i Wielki- 1840 mb, Wierzchy- 3460 mb, Wasice - 2214 mb, Szymonków- 1390 mb, Markotów Duzy- 930 mb, Krzywiczyny- 1810 mb, Komorzno- 3475 mb, Brynica- 1346 mb, Szum- 1905 mb, Brzezinki- 1480 mb, Gierałcice- 1450mb, Wierzbica Dolna- 200 mb, . Od 01.06.06 do do 31.10.06 pracowało 20 osób, a od 1.11.06 - 10 osób na 1/4 etatu </t>
  </si>
  <si>
    <t>I.wydatki bieżące- roboty związane zadaniem: Budowa kanalizacji sanitarnej w Wierzbicy Górnej I etap</t>
  </si>
  <si>
    <t>4.Budowa wodociągu w Świniarach Małych- zlecona owykonanie projektu.</t>
  </si>
  <si>
    <t>5.Budowa wodociągu do miejscowości Bruny-kolonie Jędrzejowice i Chomącko- projekt zostanie zlecony w I kw. 2007r.</t>
  </si>
  <si>
    <t>6.Modernizacja ujęcia wody w Krzywiczynach- prowadzono rozmowy z ANR w Opolu w celu przejęcia ujecia wody- przejęto ujęcie w m-cu  I 2007.</t>
  </si>
  <si>
    <t>2. Pozostałe wydatki bieżące (utrzymanie działek mienia komunal.-1.378,60, zwrot podatku akcyzowego zawartego w cenie paliwa- 227.012,62)</t>
  </si>
  <si>
    <t>1. Przebudowa mostu na Stobrawie  (Młynówka) w Wasicach- zlecono opracownie zakresu robót.</t>
  </si>
  <si>
    <t>3. Przebudowa  ul. Ogrodowej z łącznikiem do ul. Byczyńskiej w Wołczynie- zlecono wykonanie dokumentacji.</t>
  </si>
  <si>
    <t>wydatki majątkowe- Remont sieci kanalizacji deszczowej w ciągu drogi krajowej nr 42 w Wołczynie - zlecono aktualizacje dokumentacji- zadanie realizowane będzie w I połroczu 2007r.</t>
  </si>
  <si>
    <t>Wydatki przeznaczono na opracowanie projektów decyzji o warunkach zabudowy: 18 decyzji , 1 decyzja - renta planistyczna ,opracowanie projektów decyzji o ustalenie lokalizacji inwestycji celu publicznego- 4 decyzje i zmiany planu zagospodarowania przestrzennego 23 lokalizacje</t>
  </si>
  <si>
    <t xml:space="preserve">2.pozostałe wydatki bieżące (odpis na ZFŚS-39.272, ubezpieczenie -7.019, podróże służbowe krajowe- 30.119,30, zagraniczne- 1.395,66, usługi rem.-10.023,50, materiały i wyposażenie- 91.487,95, energia (co, elektryczna) i woda-47.924,67, zakup usług pozostalych-118.156,93(obsługa programów komputerowych, prowizje, usługi pocztowe, szkolenia, telefony) , ekwiw. za pr.270, zakup usług zdrowotnych-1.155, składki na PEFRON-12.483, zakup usług dostępu do sieci Internet-2.034,96 </t>
  </si>
  <si>
    <t>1. Adaptacja pomieszczeń gospodarczych w Urzędzie Miejskim na biura, w tym biuro obsługi interesanta- zrobiono rozpoznanie  kosztów zadania- dokumentacje zlecono w I kw. 2007r.</t>
  </si>
  <si>
    <t xml:space="preserve">1.wynagrodzenia i pochodne od wynagrodzeń, wydatki jednostek- zał. nr 1 oraz wydatki zrealizowane przez Urząd Miejski- wynagrodzenie za aktualizacje dokumentacji płacowej dotyczacej składek ZUS zlikwidowanych szkół- korekty złoznonych wczesniej dokumentów rozliczeniowych  </t>
  </si>
  <si>
    <t>3.pozostałe wydatki bieżące , wydatki zrealizowane prze jednostki -zał nr 1- oraz wydatki na "wyprawkę szkolną"-6.125,20 , wykonanie chodnik przy szkole nr 1 - 9.319,29</t>
  </si>
  <si>
    <t>2.pozostałe wydatki bieżące ( w tym: 3.715 zł zakup wyposażenia - sfinansowane darowizna z partnerskiej gminy Hassloch)</t>
  </si>
  <si>
    <t>Wydatki bieżące- wydatki real. jed. oświat. oraz urząd miejski, zakupiono licencje na korzystanie z programu komp."Prawo w oświacie" oraz poniesiono koszty kursów nauczycieli skierowanych na szkolenia w związku z uruchomieniem komputerów w pracowni internetowych dla szkoły nr 2 , przekazano na rzecz Starostwa Powiatowego w Kluczborku 12.300 zł w ramach umowy na realizacje zadań w zakresie doradztwa i doskonalenia zawodowego nauczycieli.</t>
  </si>
  <si>
    <t>2.Pomoc zdrowotna dla nauczycieli- (wypłacono 3  zapomogi)</t>
  </si>
  <si>
    <t>3. Pozostałe: wynagrodzenie ekspertów -członków komisji egzaminacyjnych na stopień nauczyciela mianowanego- 910, nagrody rzeczowe dla uczniów szkół podstawowych i gimnazjum za znaczące osiągnięcia edukacyjne , sportowe i kulturalne na szczeblu wojewódzkim , regionalnym lub krajowym oraz nagrody zespołowe dla szkól- 14.597,13, orgazniazja konkursów - 2.318,61, dofinansowanie kosztów kształcenia pracowników młodocianych - dofinansowanie otrzymało  7 pracodawców -31.093,06 zł , pozostałe wydatki- 542</t>
  </si>
  <si>
    <t xml:space="preserve">1.wynagrodzenia i pochodne od wynagrodzeń, w tym wynagrodzenie pracowników: 61.282,85 i składki  na ubezpieczenia emerytalne i rentowe od świadczeń społecznych- 43.091 </t>
  </si>
  <si>
    <t>Wydatki bieżące, Wypłaty stypendiów przyznawanych na podstawie art.90 d ustawy o systemie oświaty uczniom znajdującym się w trudnej sytuacji materialnej - 194.880,60,  wypłacono 2 zasiłki  z przyczyn losowych- 500, poszczególne jednostki gminne realizowały zadania poprzez przyznawanie stypendiów za wyniki w nauce- 4.600</t>
  </si>
  <si>
    <t xml:space="preserve">2. Pozostałe wydatki bieżące,zasiłki rodzinne- przyznano 25.847 świadczeń na kwotę: 1.316.241zł,  dodatki do zasiłku z tytułu: urodzenia dziecka- 96 świadczeń-93.500 zł, opieki nad dzieckiem w okresie korzystania z urlopu  wychowawczego-505  świadczeń-199.800 zł, samotnego wychowania dziecka i utraty prawa do zasiłku dla bezrobotnych-24 świadczeń- 9.600 zł, samotnego wychowania dziecka- 1.268 świadczeń-  244.210 zł, kształcenia i rehabilitacja dziecka niepełnosprawnego- 1.154 świadczeń- 82.490 zł, rozpoczęcia roku szkolnego- 1.584 świadczeń- 157.910zł,  podjęcia nauki poza miejscem zamieszkania- 4.277 świadczeń - 192.560 zł, wychowanie dziecka w rodzinie wielodzietnej- 4.894 świadczeń- 289.840zł , zasiłki pielęgnacyjne- 3.898 świadczeń -511.146 zł, świadczenia pielęgnacyjne- 424 świadczeń- 177.730 zł, jednorazowa zapomoga z tytułu urodzenia dziecka- 133 świadczenia - 133.000zł,  zaliczki alimentacyjne- 378.634 zł, wydatki na obsługę świadczeń: 53.609,61 zł </t>
  </si>
  <si>
    <t>2. Pozostałe wydatki bieżące: zakup materiałów i wyposażenia: 29.181,37(materiały budowlane, środki czystości,paliwo do kosiarki) , zakup energii i wody-  58.799,82, zakup usług pozostałych- 15.101,91, opłaty i składki- 2.570 (ubezpieczenie)</t>
  </si>
  <si>
    <t>2. Pozostałe wydatki bieżące:  zakup materiałów i wyposażenia- 11.864,95(zakup pucharów i nagród na konkursy i turnieje) , zakup usług pozostałych- 23.961,52</t>
  </si>
  <si>
    <t xml:space="preserve">Dotacje wykorzystano na poniższe jednostki :                                        Komorzno- 10.648,06, Szymonków-5.636,60,  Wołczyn-153.715,34   - ponadto biblioteka uzyskała dotacje z Ministerstwa Kultury na zakup ksiazek w wysokości- 13.957 zł                                                        </t>
  </si>
  <si>
    <t>Dostawa i montaż technologicznego wyposażenia kuchni w gimnazjum- zadanie zrealizowano i w m-cu XII 2006 uruchomniono stołowke w gimnazjum.</t>
  </si>
  <si>
    <t xml:space="preserve">Wydatki bieżące- 379 rodziny, w poszczególnych miejscowościach: Krzywiczyny- 11 rodzin- 11.069 zł , Ligota Wołczyńska- 1 rodzina- 1.070zł, Markotów Duży- 2 rodziny- 4.509 zł,  Rożnów- 19 rodzin- 36.797 zł, Świniary Wielkie- 8 rodzin- 17.426 zł , Wierzbica Górna- 24 rodziny- 36.052 zł ,Brynica- 2 rodziny- 2.983 zł,Szymonków- 1 rodzina- 468 zł, Brzezinki- 10 rodzin- 15.565 zł  , Gierałcice- 2 rodziny- 1.623 zł, Komorzno- 3 rodziny- 3537 zł, Wołczyn- 296 rodzin- 491.839,78 zł  </t>
  </si>
  <si>
    <t xml:space="preserve">2.pozostałe wydatki bieżące (środki żywności-7.147,83, odpis na ZFŚS-3.057, usługi zdrowotne- 470), </t>
  </si>
  <si>
    <t xml:space="preserve">1.dotacje, Gminne Zrzeszenie LSZ-39.000zł,  START-16.000 zł                                                                       </t>
  </si>
  <si>
    <t>2.pozostałe wydatki bieżące : wydatki osobowe niezaliczone do wynagrodzeń- 1.736.25,  zakup materiałów i wyposażenia: 22.673,49 (wyposażenie-15.347), energia, woda-16.513, usługi remontowe-1.547,81 ,usługi zdrowotne- 376,  usługi pozostałe: 26.367,37 ( poczta , telef.-8.042, prowizje bankowe-2.718, usługi prawnicze- 7.920), odpis na ZFŚS-7.878,43, ubezpieczenie samochodu, budynku i wyposażenia- 2.045, podróze słuzbowe- 31, opłaty za usługi internetowe- 464,62</t>
  </si>
  <si>
    <t xml:space="preserve">IV.Wydatki bieżące- świadczenia OPS                                                                     -posiłki w stołówce- 30 rodzin- 1.506  , dożywianie -324 rodziny - 239.193zł                                        dowóz posiłków- 2.871,17  , wyposazenie stołowek w szkołach podstawowych- 5.837,48                                   </t>
  </si>
  <si>
    <t>wydatki bieżące: Zadania zlecone : 48.000zł ( zasiłki stałe -21 rodziny) . Zadania własne: 535.952,84 (zasiłki okresowe- 275 rodzin- 342.241 zł, zasiłki celowe-224 rodziny- 80.654 zł, pomoc rzeczowa- 88 rodzin - 28.369 zł , posiłki w szkole- 4 rodziny- 455 zł, dozywianie- 84.234zł</t>
  </si>
  <si>
    <t>Wybory do rad gmin, rad powiatów i sejmików województw, wybory wójtów, burmistrzów i prezydentów miastoraz referenda</t>
  </si>
  <si>
    <t>Oddziały przedszkolne w szkołach podstawowych</t>
  </si>
  <si>
    <t>wydatki bieżące utrzymanie czystości w mieście oraz na terenie gminy -87.725, utrzymanie czystości na placu targowym- 12.000, pojemniki na odpady-34.822,41</t>
  </si>
  <si>
    <t>Wydatki bieżące-  opłaty za korzystanie ze środowiska . Od kwietnia 2006 r. , w związku z wprowadzeniem przez taryf za odprowadzanie wód deszczowych z terenów utwardzonych do kanalizacji - opłaty za korzystanie ze środowiska wnoszone są przez ZWiK sp. z o.o. w Wołczynie.</t>
  </si>
  <si>
    <t xml:space="preserve">3. Pozostałe wydatki bieżące( utrzymanie przystanków-3.801,13,  wyłapywanie psów-6.443,02,  usługi kominiarskie-1.856,84, utrzymanie czystości zieleńca koło kina- 9.999,97, parking Brzezinki- 32.825,21, tablice informacyjne  z nazwami ulic dot. Wołczyna- 10491,02, usuwanie padłych złok zwierzat- 1.412,40, zakup materiów i sprzetu dla pracowników interwencyjnych wykonujacych roboty porzadkowe- 16.726,26, ogrodzenie cmentarza w Brynicy- 1.000, zakup donic parkowych-2.999,98, zakup aparatu fotograficznego- 1.700,komisja mieszkaniowa- 497,93, wycinka drzew- 4.876,30, zakup ławek parkowych- 8.600, zagospodarowanie źródeł termalnych-7.370,06, ogrodzenie parku- 2.300 </t>
  </si>
  <si>
    <t>Fundusz płac-277.362,37, podróże służbowe-4.248, materiały i wyposażenie-106.184,56 (zakup sprzetu nagłosnieniowego- 39.953, zakp wyposazenia- 20.543,39, imprezy okolicznościowe- 11.223,00 , zakup okien foyer- 5.182,40), energia, woda, gaz-49.406,00, usługi-69.104,36 (telekom.-6.353,02,  XV Dni Wołczyna-15.102,27,  umowa zlecenie kapeli-14.588,29 ),Fundusz świadczen socjalnych-6.906,06,  podatek VAT- 11.835. Jednostka osiągnęła również dochody w wysokości- 101.052,96. Wydatki na świetlice wiejskie: fundusz płac- 21.433,34, materiały i wyposażenie- 42.278,46, energia, woda, gaz-17.997,72, usługi-33.450,67 ( umowa zlec. opiek. świetlic-11.405,00, dozynki gminne- 5.000), podatek VAT-1.970, fundusz świadczeń socjalnych- 1.146,62, remonty - 10.000 (swietlica w Szumie). Wykonane dochody- 11.329,62.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</si>
</sst>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0.000"/>
    <numFmt numFmtId="166" formatCode="0.0000"/>
  </numFmts>
  <fonts count="9">
    <font>
      <sz val="10"/>
      <name val="Arial CE"/>
      <family val="0"/>
    </font>
    <font>
      <sz val="10"/>
      <name val="Times New Roman"/>
      <family val="1"/>
    </font>
    <font>
      <sz val="9"/>
      <name val="Times New Roman"/>
      <family val="1"/>
    </font>
    <font>
      <i/>
      <sz val="9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sz val="7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13">
    <xf numFmtId="0" fontId="0" fillId="0" borderId="0" xfId="0" applyAlignment="1">
      <alignment/>
    </xf>
    <xf numFmtId="0" fontId="0" fillId="0" borderId="1" xfId="0" applyBorder="1" applyAlignment="1">
      <alignment/>
    </xf>
    <xf numFmtId="0" fontId="1" fillId="0" borderId="0" xfId="0" applyFont="1" applyAlignment="1">
      <alignment/>
    </xf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2" fillId="0" borderId="5" xfId="0" applyFont="1" applyBorder="1" applyAlignment="1">
      <alignment horizontal="right"/>
    </xf>
    <xf numFmtId="0" fontId="3" fillId="0" borderId="3" xfId="0" applyFont="1" applyBorder="1" applyAlignment="1">
      <alignment wrapText="1"/>
    </xf>
    <xf numFmtId="0" fontId="1" fillId="0" borderId="2" xfId="0" applyFont="1" applyBorder="1" applyAlignment="1">
      <alignment/>
    </xf>
    <xf numFmtId="0" fontId="2" fillId="0" borderId="6" xfId="0" applyFont="1" applyBorder="1" applyAlignment="1">
      <alignment wrapText="1"/>
    </xf>
    <xf numFmtId="9" fontId="1" fillId="0" borderId="2" xfId="17" applyFont="1" applyBorder="1" applyAlignment="1">
      <alignment/>
    </xf>
    <xf numFmtId="0" fontId="2" fillId="0" borderId="7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0" fontId="5" fillId="0" borderId="4" xfId="0" applyFont="1" applyBorder="1" applyAlignment="1">
      <alignment wrapText="1"/>
    </xf>
    <xf numFmtId="0" fontId="1" fillId="0" borderId="6" xfId="0" applyFont="1" applyBorder="1" applyAlignment="1">
      <alignment/>
    </xf>
    <xf numFmtId="0" fontId="5" fillId="0" borderId="4" xfId="0" applyFont="1" applyBorder="1" applyAlignment="1">
      <alignment/>
    </xf>
    <xf numFmtId="0" fontId="2" fillId="0" borderId="9" xfId="0" applyFont="1" applyBorder="1" applyAlignment="1">
      <alignment horizontal="center" wrapText="1"/>
    </xf>
    <xf numFmtId="0" fontId="1" fillId="0" borderId="8" xfId="0" applyFont="1" applyBorder="1" applyAlignment="1">
      <alignment/>
    </xf>
    <xf numFmtId="0" fontId="2" fillId="0" borderId="5" xfId="0" applyFont="1" applyBorder="1" applyAlignment="1">
      <alignment/>
    </xf>
    <xf numFmtId="0" fontId="3" fillId="0" borderId="2" xfId="0" applyFont="1" applyBorder="1" applyAlignment="1">
      <alignment wrapText="1"/>
    </xf>
    <xf numFmtId="0" fontId="1" fillId="0" borderId="2" xfId="0" applyFont="1" applyBorder="1" applyAlignment="1">
      <alignment vertical="top"/>
    </xf>
    <xf numFmtId="0" fontId="2" fillId="0" borderId="1" xfId="0" applyFont="1" applyBorder="1" applyAlignment="1">
      <alignment/>
    </xf>
    <xf numFmtId="0" fontId="1" fillId="0" borderId="2" xfId="0" applyFont="1" applyBorder="1" applyAlignment="1">
      <alignment/>
    </xf>
    <xf numFmtId="0" fontId="5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4" fillId="0" borderId="7" xfId="0" applyFont="1" applyBorder="1" applyAlignment="1">
      <alignment/>
    </xf>
    <xf numFmtId="0" fontId="1" fillId="0" borderId="1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8" xfId="0" applyFont="1" applyBorder="1" applyAlignment="1">
      <alignment wrapText="1"/>
    </xf>
    <xf numFmtId="0" fontId="2" fillId="0" borderId="12" xfId="0" applyFont="1" applyBorder="1" applyAlignment="1">
      <alignment wrapText="1"/>
    </xf>
    <xf numFmtId="0" fontId="5" fillId="0" borderId="9" xfId="0" applyFont="1" applyBorder="1" applyAlignment="1">
      <alignment wrapText="1"/>
    </xf>
    <xf numFmtId="0" fontId="2" fillId="0" borderId="0" xfId="0" applyFont="1" applyBorder="1" applyAlignment="1">
      <alignment wrapText="1"/>
    </xf>
    <xf numFmtId="0" fontId="2" fillId="0" borderId="7" xfId="0" applyFont="1" applyBorder="1" applyAlignment="1">
      <alignment/>
    </xf>
    <xf numFmtId="0" fontId="2" fillId="0" borderId="9" xfId="0" applyFont="1" applyBorder="1" applyAlignment="1">
      <alignment wrapText="1"/>
    </xf>
    <xf numFmtId="0" fontId="5" fillId="0" borderId="7" xfId="0" applyFont="1" applyBorder="1" applyAlignment="1">
      <alignment/>
    </xf>
    <xf numFmtId="0" fontId="2" fillId="0" borderId="7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1" fillId="0" borderId="7" xfId="0" applyFont="1" applyBorder="1" applyAlignment="1">
      <alignment/>
    </xf>
    <xf numFmtId="9" fontId="1" fillId="0" borderId="7" xfId="17" applyFont="1" applyBorder="1" applyAlignment="1">
      <alignment/>
    </xf>
    <xf numFmtId="0" fontId="2" fillId="0" borderId="8" xfId="0" applyFont="1" applyBorder="1" applyAlignment="1">
      <alignment/>
    </xf>
    <xf numFmtId="0" fontId="4" fillId="0" borderId="8" xfId="0" applyFont="1" applyBorder="1" applyAlignment="1">
      <alignment/>
    </xf>
    <xf numFmtId="0" fontId="2" fillId="0" borderId="6" xfId="0" applyFont="1" applyBorder="1" applyAlignment="1">
      <alignment/>
    </xf>
    <xf numFmtId="0" fontId="4" fillId="0" borderId="1" xfId="0" applyFont="1" applyBorder="1" applyAlignment="1">
      <alignment/>
    </xf>
    <xf numFmtId="0" fontId="5" fillId="0" borderId="5" xfId="0" applyFont="1" applyBorder="1" applyAlignment="1">
      <alignment/>
    </xf>
    <xf numFmtId="0" fontId="4" fillId="0" borderId="5" xfId="0" applyFont="1" applyBorder="1" applyAlignment="1">
      <alignment/>
    </xf>
    <xf numFmtId="0" fontId="3" fillId="0" borderId="9" xfId="0" applyFont="1" applyBorder="1" applyAlignment="1">
      <alignment wrapText="1"/>
    </xf>
    <xf numFmtId="0" fontId="4" fillId="0" borderId="6" xfId="0" applyFont="1" applyBorder="1" applyAlignment="1">
      <alignment/>
    </xf>
    <xf numFmtId="0" fontId="1" fillId="0" borderId="3" xfId="0" applyFont="1" applyBorder="1" applyAlignment="1">
      <alignment/>
    </xf>
    <xf numFmtId="0" fontId="2" fillId="0" borderId="2" xfId="0" applyFont="1" applyBorder="1" applyAlignment="1">
      <alignment horizontal="center" wrapText="1"/>
    </xf>
    <xf numFmtId="0" fontId="2" fillId="0" borderId="0" xfId="0" applyFont="1" applyBorder="1" applyAlignment="1">
      <alignment/>
    </xf>
    <xf numFmtId="0" fontId="2" fillId="0" borderId="2" xfId="0" applyFont="1" applyBorder="1" applyAlignment="1">
      <alignment horizontal="left" wrapText="1"/>
    </xf>
    <xf numFmtId="0" fontId="2" fillId="0" borderId="2" xfId="0" applyFont="1" applyBorder="1" applyAlignment="1">
      <alignment vertical="top" wrapText="1"/>
    </xf>
    <xf numFmtId="0" fontId="2" fillId="0" borderId="9" xfId="0" applyFont="1" applyBorder="1" applyAlignment="1">
      <alignment vertical="top" wrapText="1"/>
    </xf>
    <xf numFmtId="0" fontId="2" fillId="0" borderId="7" xfId="0" applyFont="1" applyBorder="1" applyAlignment="1">
      <alignment vertical="top" wrapText="1"/>
    </xf>
    <xf numFmtId="0" fontId="1" fillId="0" borderId="7" xfId="0" applyFont="1" applyBorder="1" applyAlignment="1">
      <alignment vertical="top"/>
    </xf>
    <xf numFmtId="0" fontId="2" fillId="0" borderId="10" xfId="0" applyFont="1" applyBorder="1" applyAlignment="1">
      <alignment vertical="top" wrapText="1"/>
    </xf>
    <xf numFmtId="0" fontId="3" fillId="0" borderId="10" xfId="0" applyFont="1" applyBorder="1" applyAlignment="1">
      <alignment wrapText="1"/>
    </xf>
    <xf numFmtId="0" fontId="2" fillId="0" borderId="9" xfId="0" applyFont="1" applyBorder="1" applyAlignment="1">
      <alignment/>
    </xf>
    <xf numFmtId="0" fontId="5" fillId="0" borderId="3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2" xfId="0" applyFont="1" applyBorder="1" applyAlignment="1">
      <alignment wrapText="1"/>
    </xf>
    <xf numFmtId="0" fontId="2" fillId="0" borderId="4" xfId="0" applyFont="1" applyBorder="1" applyAlignment="1">
      <alignment/>
    </xf>
    <xf numFmtId="0" fontId="2" fillId="0" borderId="9" xfId="0" applyFont="1" applyBorder="1" applyAlignment="1">
      <alignment horizontal="left" wrapText="1"/>
    </xf>
    <xf numFmtId="0" fontId="2" fillId="0" borderId="2" xfId="0" applyFont="1" applyBorder="1" applyAlignment="1">
      <alignment/>
    </xf>
    <xf numFmtId="0" fontId="3" fillId="0" borderId="8" xfId="0" applyFont="1" applyBorder="1" applyAlignment="1">
      <alignment wrapText="1"/>
    </xf>
    <xf numFmtId="0" fontId="5" fillId="0" borderId="8" xfId="0" applyFont="1" applyBorder="1" applyAlignment="1">
      <alignment/>
    </xf>
    <xf numFmtId="0" fontId="5" fillId="0" borderId="7" xfId="0" applyFont="1" applyBorder="1" applyAlignment="1">
      <alignment wrapText="1"/>
    </xf>
    <xf numFmtId="0" fontId="3" fillId="0" borderId="2" xfId="0" applyFont="1" applyBorder="1" applyAlignment="1">
      <alignment horizontal="left" wrapText="1"/>
    </xf>
    <xf numFmtId="0" fontId="2" fillId="0" borderId="13" xfId="0" applyFont="1" applyBorder="1" applyAlignment="1">
      <alignment/>
    </xf>
    <xf numFmtId="0" fontId="2" fillId="0" borderId="10" xfId="0" applyFont="1" applyBorder="1" applyAlignment="1">
      <alignment/>
    </xf>
    <xf numFmtId="0" fontId="2" fillId="0" borderId="7" xfId="0" applyFont="1" applyBorder="1" applyAlignment="1">
      <alignment vertical="top"/>
    </xf>
    <xf numFmtId="9" fontId="1" fillId="0" borderId="2" xfId="17" applyFont="1" applyBorder="1" applyAlignment="1">
      <alignment vertical="top"/>
    </xf>
    <xf numFmtId="0" fontId="2" fillId="0" borderId="10" xfId="0" applyFont="1" applyBorder="1" applyAlignment="1">
      <alignment vertical="center" wrapText="1"/>
    </xf>
    <xf numFmtId="0" fontId="4" fillId="0" borderId="3" xfId="0" applyFont="1" applyBorder="1" applyAlignment="1">
      <alignment/>
    </xf>
    <xf numFmtId="0" fontId="5" fillId="0" borderId="14" xfId="0" applyFont="1" applyBorder="1" applyAlignment="1">
      <alignment/>
    </xf>
    <xf numFmtId="0" fontId="3" fillId="0" borderId="9" xfId="0" applyFont="1" applyBorder="1" applyAlignment="1">
      <alignment horizontal="left" wrapText="1"/>
    </xf>
    <xf numFmtId="0" fontId="1" fillId="0" borderId="7" xfId="0" applyFont="1" applyBorder="1" applyAlignment="1">
      <alignment/>
    </xf>
    <xf numFmtId="0" fontId="5" fillId="0" borderId="1" xfId="0" applyFont="1" applyBorder="1" applyAlignment="1">
      <alignment/>
    </xf>
    <xf numFmtId="0" fontId="2" fillId="0" borderId="7" xfId="0" applyFont="1" applyBorder="1" applyAlignment="1">
      <alignment horizontal="left" wrapText="1"/>
    </xf>
    <xf numFmtId="0" fontId="2" fillId="0" borderId="12" xfId="0" applyFont="1" applyBorder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Border="1" applyAlignment="1">
      <alignment/>
    </xf>
    <xf numFmtId="0" fontId="2" fillId="0" borderId="5" xfId="0" applyFont="1" applyBorder="1" applyAlignment="1">
      <alignment vertical="top"/>
    </xf>
    <xf numFmtId="2" fontId="4" fillId="0" borderId="2" xfId="0" applyNumberFormat="1" applyFont="1" applyBorder="1" applyAlignment="1">
      <alignment/>
    </xf>
    <xf numFmtId="0" fontId="2" fillId="0" borderId="3" xfId="0" applyFont="1" applyBorder="1" applyAlignment="1">
      <alignment wrapText="1"/>
    </xf>
    <xf numFmtId="0" fontId="0" fillId="0" borderId="0" xfId="0" applyBorder="1" applyAlignment="1">
      <alignment/>
    </xf>
    <xf numFmtId="0" fontId="2" fillId="0" borderId="4" xfId="0" applyFont="1" applyBorder="1" applyAlignment="1">
      <alignment horizontal="center" wrapText="1"/>
    </xf>
    <xf numFmtId="0" fontId="3" fillId="0" borderId="12" xfId="0" applyFont="1" applyBorder="1" applyAlignment="1">
      <alignment wrapText="1"/>
    </xf>
    <xf numFmtId="0" fontId="3" fillId="0" borderId="10" xfId="0" applyFont="1" applyBorder="1" applyAlignment="1">
      <alignment vertical="top" wrapText="1"/>
    </xf>
    <xf numFmtId="9" fontId="1" fillId="0" borderId="0" xfId="17" applyFont="1" applyBorder="1" applyAlignment="1">
      <alignment/>
    </xf>
    <xf numFmtId="0" fontId="7" fillId="0" borderId="2" xfId="0" applyFont="1" applyBorder="1" applyAlignment="1">
      <alignment horizontal="center" vertical="center"/>
    </xf>
    <xf numFmtId="2" fontId="1" fillId="0" borderId="7" xfId="0" applyNumberFormat="1" applyFont="1" applyBorder="1" applyAlignment="1">
      <alignment/>
    </xf>
    <xf numFmtId="9" fontId="0" fillId="0" borderId="0" xfId="0" applyNumberFormat="1" applyAlignment="1">
      <alignment/>
    </xf>
    <xf numFmtId="0" fontId="0" fillId="0" borderId="0" xfId="0" applyNumberFormat="1" applyAlignment="1">
      <alignment/>
    </xf>
    <xf numFmtId="2" fontId="1" fillId="0" borderId="2" xfId="0" applyNumberFormat="1" applyFont="1" applyBorder="1" applyAlignment="1">
      <alignment/>
    </xf>
    <xf numFmtId="2" fontId="1" fillId="0" borderId="2" xfId="0" applyNumberFormat="1" applyFont="1" applyBorder="1" applyAlignment="1">
      <alignment vertical="top"/>
    </xf>
    <xf numFmtId="0" fontId="8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left" wrapText="1"/>
    </xf>
    <xf numFmtId="2" fontId="1" fillId="0" borderId="2" xfId="0" applyNumberFormat="1" applyFont="1" applyBorder="1" applyAlignment="1">
      <alignment/>
    </xf>
    <xf numFmtId="2" fontId="4" fillId="0" borderId="7" xfId="0" applyNumberFormat="1" applyFont="1" applyBorder="1" applyAlignment="1">
      <alignment/>
    </xf>
    <xf numFmtId="2" fontId="1" fillId="0" borderId="7" xfId="0" applyNumberFormat="1" applyFont="1" applyBorder="1" applyAlignment="1">
      <alignment vertical="top"/>
    </xf>
    <xf numFmtId="2" fontId="1" fillId="0" borderId="7" xfId="0" applyNumberFormat="1" applyFont="1" applyBorder="1" applyAlignment="1">
      <alignment/>
    </xf>
    <xf numFmtId="2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606"/>
  <sheetViews>
    <sheetView tabSelected="1" workbookViewId="0" topLeftCell="A293">
      <selection activeCell="D307" sqref="D307"/>
    </sheetView>
  </sheetViews>
  <sheetFormatPr defaultColWidth="9.00390625" defaultRowHeight="12.75"/>
  <cols>
    <col min="1" max="1" width="5.125" style="0" customWidth="1"/>
    <col min="2" max="2" width="6.125" style="0" customWidth="1"/>
    <col min="3" max="3" width="55.625" style="0" customWidth="1"/>
    <col min="4" max="4" width="9.375" style="0" customWidth="1"/>
    <col min="5" max="5" width="11.25390625" style="0" customWidth="1"/>
    <col min="6" max="6" width="6.25390625" style="0" customWidth="1"/>
    <col min="7" max="7" width="6.375" style="0" customWidth="1"/>
    <col min="9" max="9" width="6.125" style="0" customWidth="1"/>
    <col min="10" max="10" width="43.00390625" style="0" customWidth="1"/>
  </cols>
  <sheetData>
    <row r="1" spans="1:6" ht="15.75">
      <c r="A1" s="2"/>
      <c r="B1" s="88" t="s">
        <v>136</v>
      </c>
      <c r="C1" s="89"/>
      <c r="D1" s="88"/>
      <c r="E1" s="2"/>
      <c r="F1" s="2"/>
    </row>
    <row r="2" spans="1:7" ht="30.75" customHeight="1">
      <c r="A2" s="4" t="s">
        <v>18</v>
      </c>
      <c r="B2" s="100" t="s">
        <v>19</v>
      </c>
      <c r="C2" s="4" t="s">
        <v>20</v>
      </c>
      <c r="D2" s="4" t="s">
        <v>59</v>
      </c>
      <c r="E2" s="5" t="s">
        <v>154</v>
      </c>
      <c r="F2" s="106" t="s">
        <v>60</v>
      </c>
      <c r="G2" s="1"/>
    </row>
    <row r="3" spans="1:7" ht="12.75">
      <c r="A3" s="6">
        <v>1</v>
      </c>
      <c r="B3" s="3">
        <v>2</v>
      </c>
      <c r="C3" s="7">
        <v>3</v>
      </c>
      <c r="D3" s="3">
        <v>4</v>
      </c>
      <c r="E3" s="3">
        <v>5</v>
      </c>
      <c r="F3" s="3">
        <v>6</v>
      </c>
      <c r="G3" s="1"/>
    </row>
    <row r="4" spans="1:7" ht="12.75">
      <c r="A4" s="6" t="s">
        <v>46</v>
      </c>
      <c r="B4" s="8"/>
      <c r="C4" s="8" t="s">
        <v>47</v>
      </c>
      <c r="D4" s="3"/>
      <c r="E4" s="3"/>
      <c r="F4" s="3"/>
      <c r="G4" s="1"/>
    </row>
    <row r="5" spans="1:7" ht="12.75">
      <c r="A5" s="9" t="s">
        <v>44</v>
      </c>
      <c r="B5" s="10" t="s">
        <v>21</v>
      </c>
      <c r="C5" s="11" t="s">
        <v>145</v>
      </c>
      <c r="D5" s="12"/>
      <c r="E5" s="12"/>
      <c r="F5" s="12"/>
      <c r="G5" s="1"/>
    </row>
    <row r="6" spans="1:7" ht="12.75">
      <c r="A6" s="9"/>
      <c r="B6" s="10"/>
      <c r="C6" s="13" t="s">
        <v>74</v>
      </c>
      <c r="D6" s="12"/>
      <c r="E6" s="12"/>
      <c r="F6" s="14"/>
      <c r="G6" s="1"/>
    </row>
    <row r="7" spans="1:7" ht="108.75" customHeight="1">
      <c r="A7" s="9"/>
      <c r="B7" s="10"/>
      <c r="C7" s="13" t="s">
        <v>205</v>
      </c>
      <c r="D7" s="12">
        <f>122551+16356+2320</f>
        <v>141227</v>
      </c>
      <c r="E7" s="104">
        <f>117575.31+16355.5+2319.09</f>
        <v>136249.9</v>
      </c>
      <c r="F7" s="14">
        <f>E7/D7</f>
        <v>0.9647581553102451</v>
      </c>
      <c r="G7" s="1"/>
    </row>
    <row r="8" spans="1:7" ht="39" customHeight="1">
      <c r="A8" s="9"/>
      <c r="B8" s="10"/>
      <c r="C8" s="13" t="s">
        <v>165</v>
      </c>
      <c r="D8" s="12">
        <f>158727-141227</f>
        <v>17500</v>
      </c>
      <c r="E8" s="104">
        <f>149046.19-136249.9</f>
        <v>12796.290000000008</v>
      </c>
      <c r="F8" s="14">
        <f>E8/D8</f>
        <v>0.7312165714285719</v>
      </c>
      <c r="G8" s="1"/>
    </row>
    <row r="9" spans="1:7" ht="12.75">
      <c r="A9" s="9"/>
      <c r="B9" s="15" t="s">
        <v>61</v>
      </c>
      <c r="C9" s="13" t="s">
        <v>62</v>
      </c>
      <c r="D9" s="12">
        <f>SUM(D7:D8)</f>
        <v>158727</v>
      </c>
      <c r="E9" s="104">
        <f>SUM(E7:E8)</f>
        <v>149046.19</v>
      </c>
      <c r="F9" s="14">
        <f aca="true" t="shared" si="0" ref="F9:F94">E9/D9</f>
        <v>0.9390096832926975</v>
      </c>
      <c r="G9" s="1"/>
    </row>
    <row r="10" spans="1:7" ht="12.75">
      <c r="A10" s="9"/>
      <c r="B10" s="10" t="s">
        <v>111</v>
      </c>
      <c r="C10" s="13" t="s">
        <v>112</v>
      </c>
      <c r="D10" s="12"/>
      <c r="E10" s="104"/>
      <c r="F10" s="14"/>
      <c r="G10" s="1"/>
    </row>
    <row r="11" spans="1:7" ht="27" customHeight="1">
      <c r="A11" s="9"/>
      <c r="B11" s="10"/>
      <c r="C11" s="13" t="s">
        <v>206</v>
      </c>
      <c r="D11" s="12">
        <v>25861</v>
      </c>
      <c r="E11" s="104">
        <v>25860.81</v>
      </c>
      <c r="F11" s="14">
        <f t="shared" si="0"/>
        <v>0.9999926530296586</v>
      </c>
      <c r="G11" s="1"/>
    </row>
    <row r="12" spans="1:7" ht="12.75">
      <c r="A12" s="9"/>
      <c r="B12" s="10"/>
      <c r="C12" s="13" t="s">
        <v>129</v>
      </c>
      <c r="D12" s="12"/>
      <c r="E12" s="104"/>
      <c r="F12" s="14"/>
      <c r="G12" s="1"/>
    </row>
    <row r="13" spans="1:7" ht="51" customHeight="1">
      <c r="A13" s="9"/>
      <c r="B13" s="10"/>
      <c r="C13" s="13" t="s">
        <v>184</v>
      </c>
      <c r="D13" s="12">
        <v>17713</v>
      </c>
      <c r="E13" s="104">
        <v>2440</v>
      </c>
      <c r="F13" s="14">
        <f t="shared" si="0"/>
        <v>0.13775193360808446</v>
      </c>
      <c r="G13" s="1"/>
    </row>
    <row r="14" spans="1:7" ht="24" customHeight="1">
      <c r="A14" s="9"/>
      <c r="B14" s="10"/>
      <c r="C14" s="13" t="s">
        <v>185</v>
      </c>
      <c r="D14" s="12">
        <v>10000</v>
      </c>
      <c r="E14" s="104">
        <v>7774.25</v>
      </c>
      <c r="F14" s="14">
        <f t="shared" si="0"/>
        <v>0.777425</v>
      </c>
      <c r="G14" s="1"/>
    </row>
    <row r="15" spans="1:7" ht="37.5" customHeight="1">
      <c r="A15" s="9"/>
      <c r="B15" s="10"/>
      <c r="C15" s="13" t="s">
        <v>166</v>
      </c>
      <c r="D15" s="12">
        <v>52000</v>
      </c>
      <c r="E15" s="104">
        <v>3709.5</v>
      </c>
      <c r="F15" s="14">
        <f t="shared" si="0"/>
        <v>0.07133653846153847</v>
      </c>
      <c r="G15" s="1"/>
    </row>
    <row r="16" spans="1:7" ht="15.75" customHeight="1">
      <c r="A16" s="9"/>
      <c r="B16" s="10"/>
      <c r="C16" s="13" t="s">
        <v>207</v>
      </c>
      <c r="D16" s="12">
        <v>12000</v>
      </c>
      <c r="E16" s="104">
        <v>0</v>
      </c>
      <c r="F16" s="14"/>
      <c r="G16" s="1"/>
    </row>
    <row r="17" spans="1:7" ht="27" customHeight="1">
      <c r="A17" s="9"/>
      <c r="B17" s="10"/>
      <c r="C17" s="13" t="s">
        <v>208</v>
      </c>
      <c r="D17" s="12">
        <v>1000</v>
      </c>
      <c r="E17" s="104">
        <v>0</v>
      </c>
      <c r="F17" s="14"/>
      <c r="G17" s="1"/>
    </row>
    <row r="18" spans="1:7" ht="24" customHeight="1">
      <c r="A18" s="9"/>
      <c r="B18" s="10"/>
      <c r="C18" s="13" t="s">
        <v>209</v>
      </c>
      <c r="D18" s="12">
        <v>37000</v>
      </c>
      <c r="E18" s="104">
        <v>0</v>
      </c>
      <c r="F18" s="14"/>
      <c r="G18" s="1"/>
    </row>
    <row r="19" spans="1:7" ht="12.75">
      <c r="A19" s="9"/>
      <c r="B19" s="15"/>
      <c r="C19" s="13" t="s">
        <v>62</v>
      </c>
      <c r="D19" s="12">
        <f>SUM(D11:D18)</f>
        <v>155574</v>
      </c>
      <c r="E19" s="104">
        <f>SUM(E11:E18)</f>
        <v>39784.56</v>
      </c>
      <c r="F19" s="14">
        <f>E19/D19</f>
        <v>0.25572756373172895</v>
      </c>
      <c r="G19" s="1"/>
    </row>
    <row r="20" spans="1:7" ht="12.75">
      <c r="A20" s="9"/>
      <c r="B20" s="10" t="s">
        <v>72</v>
      </c>
      <c r="C20" s="13" t="s">
        <v>73</v>
      </c>
      <c r="D20" s="12"/>
      <c r="E20" s="104"/>
      <c r="F20" s="14"/>
      <c r="G20" s="1"/>
    </row>
    <row r="21" spans="1:7" ht="26.25" customHeight="1">
      <c r="A21" s="9"/>
      <c r="B21" s="10"/>
      <c r="C21" s="13" t="s">
        <v>77</v>
      </c>
      <c r="D21" s="12">
        <v>19000</v>
      </c>
      <c r="E21" s="104">
        <v>18934.03</v>
      </c>
      <c r="F21" s="14">
        <f t="shared" si="0"/>
        <v>0.996527894736842</v>
      </c>
      <c r="G21" s="1"/>
    </row>
    <row r="22" spans="1:7" ht="12.75">
      <c r="A22" s="9"/>
      <c r="B22" s="10" t="s">
        <v>72</v>
      </c>
      <c r="C22" s="13" t="s">
        <v>62</v>
      </c>
      <c r="D22" s="12">
        <f>SUM(D21)</f>
        <v>19000</v>
      </c>
      <c r="E22" s="104">
        <f>SUM(E21)</f>
        <v>18934.03</v>
      </c>
      <c r="F22" s="14">
        <f t="shared" si="0"/>
        <v>0.996527894736842</v>
      </c>
      <c r="G22" s="1"/>
    </row>
    <row r="23" spans="1:7" ht="12.75">
      <c r="A23" s="9"/>
      <c r="B23" s="16" t="s">
        <v>22</v>
      </c>
      <c r="C23" s="11" t="s">
        <v>23</v>
      </c>
      <c r="D23" s="12"/>
      <c r="E23" s="104"/>
      <c r="F23" s="14"/>
      <c r="G23" s="1"/>
    </row>
    <row r="24" spans="1:7" ht="12.75">
      <c r="A24" s="9"/>
      <c r="B24" s="10"/>
      <c r="C24" s="94" t="s">
        <v>74</v>
      </c>
      <c r="D24" s="12"/>
      <c r="E24" s="104"/>
      <c r="F24" s="14"/>
      <c r="G24" s="1"/>
    </row>
    <row r="25" spans="1:7" ht="12.75">
      <c r="A25" s="9"/>
      <c r="B25" s="10"/>
      <c r="C25" s="94" t="s">
        <v>138</v>
      </c>
      <c r="D25" s="12">
        <v>4540</v>
      </c>
      <c r="E25" s="104">
        <v>4540.25</v>
      </c>
      <c r="F25" s="14">
        <f t="shared" si="0"/>
        <v>1.000055066079295</v>
      </c>
      <c r="G25" s="1"/>
    </row>
    <row r="26" spans="1:7" ht="26.25" customHeight="1">
      <c r="A26" s="9"/>
      <c r="B26" s="10"/>
      <c r="C26" s="17" t="s">
        <v>210</v>
      </c>
      <c r="D26" s="12">
        <f>233053-4540</f>
        <v>228513</v>
      </c>
      <c r="E26" s="104">
        <f>232931.47-4540.25</f>
        <v>228391.22</v>
      </c>
      <c r="F26" s="14">
        <f t="shared" si="0"/>
        <v>0.9994670762713719</v>
      </c>
      <c r="G26" s="1"/>
    </row>
    <row r="27" spans="1:7" ht="12.75">
      <c r="A27" s="9"/>
      <c r="B27" s="10" t="s">
        <v>22</v>
      </c>
      <c r="C27" s="17" t="s">
        <v>62</v>
      </c>
      <c r="D27" s="12">
        <f>SUM(D25:D26)</f>
        <v>233053</v>
      </c>
      <c r="E27" s="104">
        <f>SUM(E25:E26)</f>
        <v>232931.47</v>
      </c>
      <c r="F27" s="14">
        <f t="shared" si="0"/>
        <v>0.9994785306346625</v>
      </c>
      <c r="G27" s="1"/>
    </row>
    <row r="28" spans="1:7" ht="12.75">
      <c r="A28" s="18" t="s">
        <v>24</v>
      </c>
      <c r="B28" s="19"/>
      <c r="C28" s="20" t="s">
        <v>81</v>
      </c>
      <c r="D28" s="18">
        <f>SUM(D27,D22,D19,D9)</f>
        <v>566354</v>
      </c>
      <c r="E28" s="93">
        <f>SUM(E27,E22,E19,E9)</f>
        <v>440696.25</v>
      </c>
      <c r="F28" s="14">
        <f t="shared" si="0"/>
        <v>0.77812860860875</v>
      </c>
      <c r="G28" s="1"/>
    </row>
    <row r="29" spans="1:7" ht="12.75">
      <c r="A29" s="21" t="s">
        <v>141</v>
      </c>
      <c r="B29" s="69"/>
      <c r="C29" s="96" t="s">
        <v>143</v>
      </c>
      <c r="D29" s="18"/>
      <c r="E29" s="93"/>
      <c r="F29" s="14"/>
      <c r="G29" s="95"/>
    </row>
    <row r="30" spans="1:7" ht="12.75">
      <c r="A30" s="54"/>
      <c r="B30" s="71" t="s">
        <v>142</v>
      </c>
      <c r="C30" s="17" t="s">
        <v>144</v>
      </c>
      <c r="D30" s="18"/>
      <c r="E30" s="93"/>
      <c r="F30" s="14"/>
      <c r="G30" s="95"/>
    </row>
    <row r="31" spans="1:7" ht="26.25" customHeight="1">
      <c r="A31" s="50"/>
      <c r="B31" s="71"/>
      <c r="C31" s="17" t="s">
        <v>186</v>
      </c>
      <c r="D31" s="12">
        <v>5000</v>
      </c>
      <c r="E31" s="104">
        <v>1775</v>
      </c>
      <c r="F31" s="14">
        <f t="shared" si="0"/>
        <v>0.355</v>
      </c>
      <c r="G31" s="95"/>
    </row>
    <row r="32" spans="1:7" ht="12.75">
      <c r="A32" s="50"/>
      <c r="B32" s="71" t="s">
        <v>142</v>
      </c>
      <c r="C32" s="17" t="s">
        <v>62</v>
      </c>
      <c r="D32" s="12">
        <f>SUM(D31)</f>
        <v>5000</v>
      </c>
      <c r="E32" s="104">
        <f>SUM(E31)</f>
        <v>1775</v>
      </c>
      <c r="F32" s="14">
        <f t="shared" si="0"/>
        <v>0.355</v>
      </c>
      <c r="G32" s="95"/>
    </row>
    <row r="33" spans="1:7" ht="12.75">
      <c r="A33" s="50" t="s">
        <v>141</v>
      </c>
      <c r="B33" s="19"/>
      <c r="C33" s="68" t="s">
        <v>94</v>
      </c>
      <c r="D33" s="18">
        <f>SUM(D32)</f>
        <v>5000</v>
      </c>
      <c r="E33" s="93">
        <f>SUM(E32)</f>
        <v>1775</v>
      </c>
      <c r="F33" s="14">
        <f t="shared" si="0"/>
        <v>0.355</v>
      </c>
      <c r="G33" s="95"/>
    </row>
    <row r="34" spans="1:6" ht="12.75">
      <c r="A34" s="21">
        <v>600</v>
      </c>
      <c r="B34" s="22"/>
      <c r="C34" s="23" t="s">
        <v>103</v>
      </c>
      <c r="D34" s="18"/>
      <c r="E34" s="93"/>
      <c r="F34" s="14"/>
    </row>
    <row r="35" spans="1:6" ht="12.75">
      <c r="A35" s="24" t="s">
        <v>44</v>
      </c>
      <c r="B35" s="25">
        <v>60016</v>
      </c>
      <c r="C35" s="26" t="s">
        <v>26</v>
      </c>
      <c r="D35" s="12"/>
      <c r="E35" s="104"/>
      <c r="F35" s="14"/>
    </row>
    <row r="36" spans="1:6" ht="12.75">
      <c r="A36" s="9"/>
      <c r="B36" s="25"/>
      <c r="C36" s="17" t="s">
        <v>119</v>
      </c>
      <c r="D36" s="27"/>
      <c r="E36" s="105"/>
      <c r="F36" s="14"/>
    </row>
    <row r="37" spans="1:6" ht="106.5" customHeight="1">
      <c r="A37" s="9"/>
      <c r="B37" s="28"/>
      <c r="C37" s="17" t="s">
        <v>187</v>
      </c>
      <c r="D37" s="29">
        <f>314853-62000-2300</f>
        <v>250553</v>
      </c>
      <c r="E37" s="108">
        <f>261298-23124.14-2296.58</f>
        <v>235877.28</v>
      </c>
      <c r="F37" s="14">
        <f t="shared" si="0"/>
        <v>0.9414266841746057</v>
      </c>
    </row>
    <row r="38" spans="1:6" ht="12.75">
      <c r="A38" s="9"/>
      <c r="B38" s="28"/>
      <c r="C38" s="17" t="s">
        <v>89</v>
      </c>
      <c r="D38" s="29">
        <v>2300</v>
      </c>
      <c r="E38" s="108">
        <v>2296.58</v>
      </c>
      <c r="F38" s="14">
        <f t="shared" si="0"/>
        <v>0.9985130434782609</v>
      </c>
    </row>
    <row r="39" spans="1:6" ht="12.75">
      <c r="A39" s="9"/>
      <c r="B39" s="28"/>
      <c r="C39" s="17" t="s">
        <v>130</v>
      </c>
      <c r="D39" s="29"/>
      <c r="E39" s="108"/>
      <c r="F39" s="14"/>
    </row>
    <row r="40" spans="1:6" ht="22.5" customHeight="1">
      <c r="A40" s="9"/>
      <c r="B40" s="28"/>
      <c r="C40" s="17" t="s">
        <v>211</v>
      </c>
      <c r="D40" s="29">
        <v>10000</v>
      </c>
      <c r="E40" s="108">
        <v>0</v>
      </c>
      <c r="F40" s="14">
        <f t="shared" si="0"/>
        <v>0</v>
      </c>
    </row>
    <row r="41" spans="1:6" ht="23.25" customHeight="1">
      <c r="A41" s="9"/>
      <c r="B41" s="28"/>
      <c r="C41" s="17" t="s">
        <v>167</v>
      </c>
      <c r="D41" s="29">
        <v>22000</v>
      </c>
      <c r="E41" s="108">
        <v>21636.15</v>
      </c>
      <c r="F41" s="14">
        <f t="shared" si="0"/>
        <v>0.9834613636363637</v>
      </c>
    </row>
    <row r="42" spans="1:6" ht="24.75" customHeight="1">
      <c r="A42" s="9"/>
      <c r="B42" s="28"/>
      <c r="C42" s="17" t="s">
        <v>212</v>
      </c>
      <c r="D42" s="29">
        <v>30000</v>
      </c>
      <c r="E42" s="108">
        <v>1487.99</v>
      </c>
      <c r="F42" s="14">
        <f t="shared" si="0"/>
        <v>0.04959966666666667</v>
      </c>
    </row>
    <row r="43" spans="1:6" ht="12" customHeight="1">
      <c r="A43" s="9"/>
      <c r="B43" s="34">
        <v>60016</v>
      </c>
      <c r="C43" s="17" t="s">
        <v>62</v>
      </c>
      <c r="D43" s="29">
        <f>SUM(D37:D42)</f>
        <v>314853</v>
      </c>
      <c r="E43" s="108">
        <f>SUM(E37:E42)</f>
        <v>261297.99999999997</v>
      </c>
      <c r="F43" s="14">
        <f t="shared" si="0"/>
        <v>0.8299047492004205</v>
      </c>
    </row>
    <row r="44" spans="1:6" ht="13.5" customHeight="1">
      <c r="A44" s="9"/>
      <c r="B44" s="28">
        <v>60095</v>
      </c>
      <c r="C44" s="26" t="s">
        <v>23</v>
      </c>
      <c r="D44" s="29"/>
      <c r="E44" s="108"/>
      <c r="F44" s="14"/>
    </row>
    <row r="45" spans="1:6" ht="32.25" customHeight="1">
      <c r="A45" s="9"/>
      <c r="B45" s="28"/>
      <c r="C45" s="42" t="s">
        <v>213</v>
      </c>
      <c r="D45" s="29">
        <v>2500</v>
      </c>
      <c r="E45" s="108">
        <v>0</v>
      </c>
      <c r="F45" s="14">
        <f t="shared" si="0"/>
        <v>0</v>
      </c>
    </row>
    <row r="46" spans="1:6" ht="11.25" customHeight="1">
      <c r="A46" s="9"/>
      <c r="B46" s="28">
        <v>60095</v>
      </c>
      <c r="C46" s="42" t="s">
        <v>62</v>
      </c>
      <c r="D46" s="29">
        <f>SUM(D45)</f>
        <v>2500</v>
      </c>
      <c r="E46" s="108">
        <f>SUM(E45)</f>
        <v>0</v>
      </c>
      <c r="F46" s="14">
        <f t="shared" si="0"/>
        <v>0</v>
      </c>
    </row>
    <row r="47" spans="1:6" ht="12.75">
      <c r="A47" s="18">
        <v>600</v>
      </c>
      <c r="B47" s="19"/>
      <c r="C47" s="30" t="s">
        <v>94</v>
      </c>
      <c r="D47" s="18">
        <f>SUM(D46,D43)</f>
        <v>317353</v>
      </c>
      <c r="E47" s="93">
        <f>SUM(E46,E43)</f>
        <v>261297.99999999997</v>
      </c>
      <c r="F47" s="14">
        <f t="shared" si="0"/>
        <v>0.8233670392276108</v>
      </c>
    </row>
    <row r="48" spans="1:6" ht="12.75">
      <c r="A48" s="21">
        <v>700</v>
      </c>
      <c r="B48" s="22"/>
      <c r="C48" s="31" t="s">
        <v>48</v>
      </c>
      <c r="D48" s="32"/>
      <c r="E48" s="109"/>
      <c r="F48" s="14"/>
    </row>
    <row r="49" spans="1:6" ht="12.75">
      <c r="A49" s="24" t="s">
        <v>44</v>
      </c>
      <c r="B49" s="25">
        <v>70004</v>
      </c>
      <c r="C49" s="26" t="s">
        <v>80</v>
      </c>
      <c r="D49" s="12"/>
      <c r="E49" s="104"/>
      <c r="F49" s="14"/>
    </row>
    <row r="50" spans="1:6" ht="12.75">
      <c r="A50" s="9"/>
      <c r="B50" s="25"/>
      <c r="C50" s="17" t="s">
        <v>10</v>
      </c>
      <c r="D50" s="12">
        <v>130000</v>
      </c>
      <c r="E50" s="104">
        <v>130000</v>
      </c>
      <c r="F50" s="14">
        <f t="shared" si="0"/>
        <v>1</v>
      </c>
    </row>
    <row r="51" spans="1:6" ht="12.75">
      <c r="A51" s="33"/>
      <c r="B51" s="34">
        <v>70004</v>
      </c>
      <c r="C51" s="17" t="s">
        <v>62</v>
      </c>
      <c r="D51" s="12">
        <f>SUM(D50)</f>
        <v>130000</v>
      </c>
      <c r="E51" s="104">
        <f>SUM(E50)</f>
        <v>130000</v>
      </c>
      <c r="F51" s="14">
        <f t="shared" si="0"/>
        <v>1</v>
      </c>
    </row>
    <row r="52" spans="1:6" ht="12.75">
      <c r="A52" s="9"/>
      <c r="B52" s="25">
        <v>70005</v>
      </c>
      <c r="C52" s="26" t="s">
        <v>27</v>
      </c>
      <c r="D52" s="12"/>
      <c r="E52" s="104"/>
      <c r="F52" s="14"/>
    </row>
    <row r="53" spans="1:6" ht="12.75" customHeight="1">
      <c r="A53" s="9"/>
      <c r="B53" s="25"/>
      <c r="C53" s="35" t="s">
        <v>168</v>
      </c>
      <c r="D53" s="12">
        <v>87159</v>
      </c>
      <c r="E53" s="104">
        <v>68488.3</v>
      </c>
      <c r="F53" s="14">
        <f t="shared" si="0"/>
        <v>0.7857857478860474</v>
      </c>
    </row>
    <row r="54" spans="1:6" ht="12.75">
      <c r="A54" s="9"/>
      <c r="B54" s="39">
        <v>70005</v>
      </c>
      <c r="C54" s="36" t="s">
        <v>62</v>
      </c>
      <c r="D54" s="12">
        <f>SUM(D53)</f>
        <v>87159</v>
      </c>
      <c r="E54" s="104">
        <f>SUM(E53)</f>
        <v>68488.3</v>
      </c>
      <c r="F54" s="14">
        <f t="shared" si="0"/>
        <v>0.7857857478860474</v>
      </c>
    </row>
    <row r="55" spans="1:6" ht="12.75">
      <c r="A55" s="9"/>
      <c r="B55" s="25">
        <v>70095</v>
      </c>
      <c r="C55" s="97" t="s">
        <v>23</v>
      </c>
      <c r="D55" s="12"/>
      <c r="E55" s="104"/>
      <c r="F55" s="14"/>
    </row>
    <row r="56" spans="1:6" ht="12.75">
      <c r="A56" s="9"/>
      <c r="B56" s="25"/>
      <c r="C56" s="36" t="s">
        <v>188</v>
      </c>
      <c r="D56" s="12"/>
      <c r="E56" s="104"/>
      <c r="F56" s="14"/>
    </row>
    <row r="57" spans="1:6" ht="24">
      <c r="A57" s="9"/>
      <c r="B57" s="25"/>
      <c r="C57" s="36" t="s">
        <v>169</v>
      </c>
      <c r="D57" s="12">
        <v>15000</v>
      </c>
      <c r="E57" s="104">
        <v>14236</v>
      </c>
      <c r="F57" s="14">
        <f t="shared" si="0"/>
        <v>0.9490666666666666</v>
      </c>
    </row>
    <row r="58" spans="1:6" ht="25.5" customHeight="1">
      <c r="A58" s="9"/>
      <c r="B58" s="25"/>
      <c r="C58" s="36" t="s">
        <v>170</v>
      </c>
      <c r="D58" s="12">
        <v>15000</v>
      </c>
      <c r="E58" s="104">
        <v>14608</v>
      </c>
      <c r="F58" s="14">
        <f t="shared" si="0"/>
        <v>0.9738666666666667</v>
      </c>
    </row>
    <row r="59" spans="1:6" ht="12.75">
      <c r="A59" s="9"/>
      <c r="B59" s="25">
        <v>70095</v>
      </c>
      <c r="C59" s="36" t="s">
        <v>62</v>
      </c>
      <c r="D59" s="12">
        <f>SUM(D57:D58)</f>
        <v>30000</v>
      </c>
      <c r="E59" s="104">
        <f>SUM(E57:E58)</f>
        <v>28844</v>
      </c>
      <c r="F59" s="14">
        <f t="shared" si="0"/>
        <v>0.9614666666666667</v>
      </c>
    </row>
    <row r="60" spans="1:6" ht="12.75">
      <c r="A60" s="18">
        <v>700</v>
      </c>
      <c r="B60" s="19"/>
      <c r="C60" s="37" t="s">
        <v>81</v>
      </c>
      <c r="D60" s="18">
        <f>SUM(D54,D51,D59)</f>
        <v>247159</v>
      </c>
      <c r="E60" s="93">
        <f>SUM(E54,E51,E59)</f>
        <v>227332.3</v>
      </c>
      <c r="F60" s="14">
        <f t="shared" si="0"/>
        <v>0.9197815980805878</v>
      </c>
    </row>
    <row r="61" spans="1:6" ht="12.75">
      <c r="A61" s="21">
        <v>710</v>
      </c>
      <c r="B61" s="22"/>
      <c r="C61" s="23" t="s">
        <v>49</v>
      </c>
      <c r="D61" s="18"/>
      <c r="E61" s="93"/>
      <c r="F61" s="14"/>
    </row>
    <row r="62" spans="1:6" ht="12.75">
      <c r="A62" s="24" t="s">
        <v>44</v>
      </c>
      <c r="B62" s="25">
        <v>71004</v>
      </c>
      <c r="C62" s="26" t="s">
        <v>91</v>
      </c>
      <c r="D62" s="12"/>
      <c r="E62" s="104"/>
      <c r="F62" s="14"/>
    </row>
    <row r="63" spans="1:6" ht="12.75">
      <c r="A63" s="9"/>
      <c r="B63" s="25"/>
      <c r="C63" s="38" t="s">
        <v>131</v>
      </c>
      <c r="D63" s="12"/>
      <c r="E63" s="104"/>
      <c r="F63" s="14"/>
    </row>
    <row r="64" spans="1:6" ht="12.75">
      <c r="A64" s="9"/>
      <c r="B64" s="25"/>
      <c r="C64" s="17" t="s">
        <v>117</v>
      </c>
      <c r="D64" s="12">
        <v>30000</v>
      </c>
      <c r="E64" s="104">
        <v>27135</v>
      </c>
      <c r="F64" s="14">
        <f t="shared" si="0"/>
        <v>0.9045</v>
      </c>
    </row>
    <row r="65" spans="1:6" ht="12" customHeight="1">
      <c r="A65" s="9"/>
      <c r="B65" s="25"/>
      <c r="C65" s="12" t="s">
        <v>118</v>
      </c>
      <c r="D65" s="12">
        <v>18000</v>
      </c>
      <c r="E65" s="104">
        <v>3996.72</v>
      </c>
      <c r="F65" s="14">
        <f t="shared" si="0"/>
        <v>0.22204</v>
      </c>
    </row>
    <row r="66" spans="1:6" ht="49.5" customHeight="1">
      <c r="A66" s="9"/>
      <c r="B66" s="25"/>
      <c r="C66" s="107" t="s">
        <v>214</v>
      </c>
      <c r="D66" s="12"/>
      <c r="E66" s="104"/>
      <c r="F66" s="14"/>
    </row>
    <row r="67" spans="1:6" ht="12.75">
      <c r="A67" s="9"/>
      <c r="B67" s="39">
        <v>71004</v>
      </c>
      <c r="C67" s="40" t="s">
        <v>62</v>
      </c>
      <c r="D67" s="12">
        <f>SUM(D64:D65)</f>
        <v>48000</v>
      </c>
      <c r="E67" s="104">
        <f>SUM(E64:E65)</f>
        <v>31131.72</v>
      </c>
      <c r="F67" s="14">
        <f t="shared" si="0"/>
        <v>0.6485775</v>
      </c>
    </row>
    <row r="68" spans="1:6" ht="12.75">
      <c r="A68" s="9"/>
      <c r="B68" s="25">
        <v>71035</v>
      </c>
      <c r="C68" s="64" t="s">
        <v>146</v>
      </c>
      <c r="D68" s="12"/>
      <c r="E68" s="104"/>
      <c r="F68" s="14"/>
    </row>
    <row r="69" spans="1:6" ht="24">
      <c r="A69" s="33"/>
      <c r="B69" s="25"/>
      <c r="C69" s="43" t="s">
        <v>189</v>
      </c>
      <c r="D69" s="12">
        <v>56000</v>
      </c>
      <c r="E69" s="104">
        <v>55999.03</v>
      </c>
      <c r="F69" s="14">
        <f>E69/D69</f>
        <v>0.9999826785714285</v>
      </c>
    </row>
    <row r="70" spans="1:6" ht="24">
      <c r="A70" s="33"/>
      <c r="B70" s="25"/>
      <c r="C70" s="43" t="s">
        <v>190</v>
      </c>
      <c r="D70" s="12">
        <v>67550</v>
      </c>
      <c r="E70" s="104">
        <v>45078.46</v>
      </c>
      <c r="F70" s="14">
        <f>E70/D70</f>
        <v>0.6673347150259067</v>
      </c>
    </row>
    <row r="71" spans="1:6" ht="12.75">
      <c r="A71" s="9"/>
      <c r="B71" s="39">
        <v>71035</v>
      </c>
      <c r="C71" s="43" t="s">
        <v>62</v>
      </c>
      <c r="D71" s="12">
        <f>SUM(D69:D70)</f>
        <v>123550</v>
      </c>
      <c r="E71" s="104">
        <f>SUM(E69:E70)</f>
        <v>101077.48999999999</v>
      </c>
      <c r="F71" s="14">
        <f>E71/D71</f>
        <v>0.8181099959530553</v>
      </c>
    </row>
    <row r="72" spans="1:6" ht="12.75">
      <c r="A72" s="18">
        <v>710</v>
      </c>
      <c r="B72" s="41"/>
      <c r="C72" s="30" t="s">
        <v>81</v>
      </c>
      <c r="D72" s="18">
        <f>SUM(D71,D67)</f>
        <v>171550</v>
      </c>
      <c r="E72" s="93">
        <f>SUM(E71,E67)</f>
        <v>132209.21</v>
      </c>
      <c r="F72" s="14">
        <f>E72/D72</f>
        <v>0.7706744972311279</v>
      </c>
    </row>
    <row r="73" spans="1:6" ht="12.75">
      <c r="A73" s="21">
        <v>750</v>
      </c>
      <c r="B73" s="22"/>
      <c r="C73" s="23" t="s">
        <v>50</v>
      </c>
      <c r="D73" s="18"/>
      <c r="E73" s="93"/>
      <c r="F73" s="14"/>
    </row>
    <row r="74" spans="1:6" ht="12.75">
      <c r="A74" s="24" t="s">
        <v>44</v>
      </c>
      <c r="B74" s="25">
        <v>75011</v>
      </c>
      <c r="C74" s="26" t="s">
        <v>28</v>
      </c>
      <c r="D74" s="12"/>
      <c r="E74" s="104"/>
      <c r="F74" s="14"/>
    </row>
    <row r="75" spans="1:6" ht="12.75">
      <c r="A75" s="9"/>
      <c r="B75" s="25"/>
      <c r="C75" s="17" t="s">
        <v>74</v>
      </c>
      <c r="D75" s="12"/>
      <c r="E75" s="104"/>
      <c r="F75" s="14"/>
    </row>
    <row r="76" spans="1:6" ht="12.75">
      <c r="A76" s="9"/>
      <c r="B76" s="25"/>
      <c r="C76" s="42" t="s">
        <v>65</v>
      </c>
      <c r="D76" s="12">
        <v>93238</v>
      </c>
      <c r="E76" s="104">
        <v>93238</v>
      </c>
      <c r="F76" s="14">
        <f t="shared" si="0"/>
        <v>1</v>
      </c>
    </row>
    <row r="77" spans="1:6" ht="12.75">
      <c r="A77" s="33"/>
      <c r="B77" s="39">
        <v>75011</v>
      </c>
      <c r="C77" s="43" t="s">
        <v>62</v>
      </c>
      <c r="D77" s="12">
        <f>SUM(D76)</f>
        <v>93238</v>
      </c>
      <c r="E77" s="104">
        <f>SUM(E76)</f>
        <v>93238</v>
      </c>
      <c r="F77" s="14">
        <f t="shared" si="0"/>
        <v>1</v>
      </c>
    </row>
    <row r="78" spans="1:6" ht="12.75">
      <c r="A78" s="9"/>
      <c r="B78" s="25">
        <v>75022</v>
      </c>
      <c r="C78" s="44" t="s">
        <v>29</v>
      </c>
      <c r="D78" s="9"/>
      <c r="E78" s="101"/>
      <c r="F78" s="46"/>
    </row>
    <row r="79" spans="1:6" ht="12.75" customHeight="1">
      <c r="A79" s="9"/>
      <c r="B79" s="25"/>
      <c r="C79" s="35" t="s">
        <v>147</v>
      </c>
      <c r="D79" s="12">
        <f>58102-4600</f>
        <v>53502</v>
      </c>
      <c r="E79" s="104">
        <f>52805.34-4600</f>
        <v>48205.34</v>
      </c>
      <c r="F79" s="14">
        <f>E79/D79</f>
        <v>0.9010007102538222</v>
      </c>
    </row>
    <row r="80" spans="1:6" ht="12.75" customHeight="1">
      <c r="A80" s="9"/>
      <c r="B80" s="25"/>
      <c r="C80" s="35" t="s">
        <v>191</v>
      </c>
      <c r="D80" s="45">
        <v>4600</v>
      </c>
      <c r="E80" s="104">
        <v>4600</v>
      </c>
      <c r="F80" s="14">
        <f>E80/D80</f>
        <v>1</v>
      </c>
    </row>
    <row r="81" spans="1:6" ht="12.75">
      <c r="A81" s="9"/>
      <c r="B81" s="25">
        <v>75022</v>
      </c>
      <c r="C81" s="35" t="s">
        <v>62</v>
      </c>
      <c r="D81" s="45">
        <f>SUM(D79:D80)</f>
        <v>58102</v>
      </c>
      <c r="E81" s="101">
        <f>SUM(E79:E80)</f>
        <v>52805.34</v>
      </c>
      <c r="F81" s="14">
        <f t="shared" si="0"/>
        <v>0.9088385941964131</v>
      </c>
    </row>
    <row r="82" spans="1:6" ht="12.75">
      <c r="A82" s="9"/>
      <c r="B82" s="47">
        <v>75023</v>
      </c>
      <c r="C82" s="26" t="s">
        <v>30</v>
      </c>
      <c r="D82" s="45"/>
      <c r="E82" s="104"/>
      <c r="F82" s="14"/>
    </row>
    <row r="83" spans="1:6" ht="12.75">
      <c r="A83" s="9"/>
      <c r="B83" s="25"/>
      <c r="C83" s="17" t="s">
        <v>120</v>
      </c>
      <c r="D83" s="45"/>
      <c r="E83" s="104"/>
      <c r="F83" s="14"/>
    </row>
    <row r="84" spans="1:6" ht="12" customHeight="1">
      <c r="A84" s="33"/>
      <c r="B84" s="25"/>
      <c r="C84" s="43" t="s">
        <v>64</v>
      </c>
      <c r="D84" s="45">
        <f>1340143+115948+252316+37273+13300</f>
        <v>1758980</v>
      </c>
      <c r="E84" s="104">
        <f>1338304.12+115947.36+251712.99+37161.2+10900</f>
        <v>1754025.6700000002</v>
      </c>
      <c r="F84" s="14">
        <f t="shared" si="0"/>
        <v>0.9971834074293057</v>
      </c>
    </row>
    <row r="85" spans="1:6" ht="86.25" customHeight="1">
      <c r="A85" s="9"/>
      <c r="B85" s="25"/>
      <c r="C85" s="42" t="s">
        <v>215</v>
      </c>
      <c r="D85" s="45">
        <f>2315978-184500-1758980</f>
        <v>372498</v>
      </c>
      <c r="E85" s="104">
        <f>2289252.74-173885.1-1754025.67</f>
        <v>361341.9700000002</v>
      </c>
      <c r="F85" s="14">
        <f t="shared" si="0"/>
        <v>0.9700507653732374</v>
      </c>
    </row>
    <row r="86" spans="1:6" ht="12" customHeight="1">
      <c r="A86" s="9"/>
      <c r="B86" s="25"/>
      <c r="C86" s="42" t="s">
        <v>158</v>
      </c>
      <c r="D86" s="45"/>
      <c r="E86" s="104"/>
      <c r="F86" s="14"/>
    </row>
    <row r="87" spans="1:6" ht="37.5" customHeight="1">
      <c r="A87" s="9"/>
      <c r="B87" s="25"/>
      <c r="C87" s="42" t="s">
        <v>216</v>
      </c>
      <c r="D87" s="45">
        <v>8000</v>
      </c>
      <c r="E87" s="101">
        <v>0</v>
      </c>
      <c r="F87" s="14"/>
    </row>
    <row r="88" spans="1:6" ht="37.5" customHeight="1">
      <c r="A88" s="9"/>
      <c r="B88" s="25"/>
      <c r="C88" s="42" t="s">
        <v>192</v>
      </c>
      <c r="D88" s="45">
        <v>176500</v>
      </c>
      <c r="E88" s="101">
        <v>173885.1</v>
      </c>
      <c r="F88" s="14">
        <f t="shared" si="0"/>
        <v>0.9851847025495751</v>
      </c>
    </row>
    <row r="89" spans="1:6" ht="12.75">
      <c r="A89" s="9"/>
      <c r="B89" s="39">
        <v>75023</v>
      </c>
      <c r="C89" s="42" t="s">
        <v>62</v>
      </c>
      <c r="D89" s="45">
        <f>SUM(D84:D88)</f>
        <v>2315978</v>
      </c>
      <c r="E89" s="101">
        <f>SUM(E84:E88)</f>
        <v>2289252.7400000007</v>
      </c>
      <c r="F89" s="14">
        <f t="shared" si="0"/>
        <v>0.9884604862395069</v>
      </c>
    </row>
    <row r="90" spans="1:6" ht="12.75">
      <c r="A90" s="9"/>
      <c r="B90" s="25">
        <v>75075</v>
      </c>
      <c r="C90" s="44" t="s">
        <v>104</v>
      </c>
      <c r="D90" s="45"/>
      <c r="E90" s="101"/>
      <c r="F90" s="14"/>
    </row>
    <row r="91" spans="1:6" ht="12.75">
      <c r="A91" s="9"/>
      <c r="B91" s="25"/>
      <c r="C91" s="42" t="s">
        <v>132</v>
      </c>
      <c r="D91" s="45"/>
      <c r="E91" s="101"/>
      <c r="F91" s="14"/>
    </row>
    <row r="92" spans="1:6" ht="12.75">
      <c r="A92" s="9"/>
      <c r="B92" s="25"/>
      <c r="C92" s="42" t="s">
        <v>133</v>
      </c>
      <c r="D92" s="45">
        <v>4000</v>
      </c>
      <c r="E92" s="101">
        <v>1626</v>
      </c>
      <c r="F92" s="14">
        <f t="shared" si="0"/>
        <v>0.4065</v>
      </c>
    </row>
    <row r="93" spans="1:6" ht="36.75" customHeight="1">
      <c r="A93" s="9"/>
      <c r="B93" s="25"/>
      <c r="C93" s="42" t="s">
        <v>193</v>
      </c>
      <c r="D93" s="45">
        <f>60400-4000</f>
        <v>56400</v>
      </c>
      <c r="E93" s="101">
        <f>56999.47-1626</f>
        <v>55373.47</v>
      </c>
      <c r="F93" s="14">
        <f t="shared" si="0"/>
        <v>0.9817991134751773</v>
      </c>
    </row>
    <row r="94" spans="1:6" ht="12.75">
      <c r="A94" s="9"/>
      <c r="B94" s="25"/>
      <c r="C94" s="42" t="s">
        <v>62</v>
      </c>
      <c r="D94" s="45">
        <f>SUM(D92:D93)</f>
        <v>60400</v>
      </c>
      <c r="E94" s="101">
        <f>SUM(E92:E93)</f>
        <v>56999.47</v>
      </c>
      <c r="F94" s="14">
        <f t="shared" si="0"/>
        <v>0.9436998344370862</v>
      </c>
    </row>
    <row r="95" spans="1:6" ht="12.75">
      <c r="A95" s="9"/>
      <c r="B95" s="47">
        <v>75095</v>
      </c>
      <c r="C95" s="26" t="s">
        <v>23</v>
      </c>
      <c r="D95" s="12"/>
      <c r="E95" s="104"/>
      <c r="F95" s="14"/>
    </row>
    <row r="96" spans="1:6" ht="23.25" customHeight="1">
      <c r="A96" s="9"/>
      <c r="B96" s="25"/>
      <c r="C96" s="35" t="s">
        <v>171</v>
      </c>
      <c r="D96" s="24">
        <f>60512-25179</f>
        <v>35333</v>
      </c>
      <c r="E96" s="104">
        <f>59299.51-25178.16</f>
        <v>34121.350000000006</v>
      </c>
      <c r="F96" s="14">
        <f aca="true" t="shared" si="1" ref="F96:F190">E96/D96</f>
        <v>0.9657076953556167</v>
      </c>
    </row>
    <row r="97" spans="1:6" ht="15.75" customHeight="1">
      <c r="A97" s="9"/>
      <c r="B97" s="25"/>
      <c r="C97" s="36" t="s">
        <v>105</v>
      </c>
      <c r="D97" s="24">
        <v>25179</v>
      </c>
      <c r="E97" s="104">
        <v>25178.16</v>
      </c>
      <c r="F97" s="14">
        <f t="shared" si="1"/>
        <v>0.9999666388657215</v>
      </c>
    </row>
    <row r="98" spans="1:6" ht="12.75">
      <c r="A98" s="9"/>
      <c r="B98" s="25">
        <v>75095</v>
      </c>
      <c r="C98" s="36" t="s">
        <v>62</v>
      </c>
      <c r="D98" s="12">
        <f>SUM(D96:D97)</f>
        <v>60512</v>
      </c>
      <c r="E98" s="104">
        <f>SUM(E96:E97)</f>
        <v>59299.51000000001</v>
      </c>
      <c r="F98" s="14">
        <f t="shared" si="1"/>
        <v>0.9799628172924381</v>
      </c>
    </row>
    <row r="99" spans="1:6" ht="15.75" customHeight="1">
      <c r="A99" s="18">
        <v>750</v>
      </c>
      <c r="B99" s="19"/>
      <c r="C99" s="37" t="s">
        <v>81</v>
      </c>
      <c r="D99" s="18">
        <f>SUM(D98,D94,D89,D81,D77)</f>
        <v>2588230</v>
      </c>
      <c r="E99" s="93">
        <f>SUM(E98,E94,E89,E81,E77)</f>
        <v>2551595.0600000005</v>
      </c>
      <c r="F99" s="14">
        <f t="shared" si="1"/>
        <v>0.9858455624113779</v>
      </c>
    </row>
    <row r="100" spans="1:6" ht="34.5" customHeight="1">
      <c r="A100" s="21">
        <v>751</v>
      </c>
      <c r="B100" s="22"/>
      <c r="C100" s="23" t="s">
        <v>92</v>
      </c>
      <c r="D100" s="18"/>
      <c r="E100" s="93"/>
      <c r="F100" s="14"/>
    </row>
    <row r="101" spans="1:6" ht="17.25" customHeight="1">
      <c r="A101" s="48"/>
      <c r="B101" s="49">
        <v>75101</v>
      </c>
      <c r="C101" s="26" t="s">
        <v>54</v>
      </c>
      <c r="D101" s="12"/>
      <c r="E101" s="93"/>
      <c r="F101" s="14"/>
    </row>
    <row r="102" spans="1:6" ht="12.75">
      <c r="A102" s="50"/>
      <c r="B102" s="51"/>
      <c r="C102" s="40" t="s">
        <v>75</v>
      </c>
      <c r="D102" s="12"/>
      <c r="E102" s="93"/>
      <c r="F102" s="14"/>
    </row>
    <row r="103" spans="1:6" ht="12.75">
      <c r="A103" s="50"/>
      <c r="B103" s="51"/>
      <c r="C103" s="40" t="s">
        <v>113</v>
      </c>
      <c r="D103" s="12">
        <f>121+17+700</f>
        <v>838</v>
      </c>
      <c r="E103" s="104">
        <f>120.96+17.16+700</f>
        <v>838.12</v>
      </c>
      <c r="F103" s="14">
        <f t="shared" si="1"/>
        <v>1.000143198090692</v>
      </c>
    </row>
    <row r="104" spans="1:6" ht="12.75">
      <c r="A104" s="50"/>
      <c r="B104" s="51"/>
      <c r="C104" s="40" t="s">
        <v>63</v>
      </c>
      <c r="D104" s="12">
        <v>1450</v>
      </c>
      <c r="E104" s="104">
        <v>1449.88</v>
      </c>
      <c r="F104" s="14">
        <f t="shared" si="1"/>
        <v>0.9999172413793104</v>
      </c>
    </row>
    <row r="105" spans="1:6" ht="18" customHeight="1">
      <c r="A105" s="52"/>
      <c r="B105" s="39">
        <v>75101</v>
      </c>
      <c r="C105" s="17" t="s">
        <v>62</v>
      </c>
      <c r="D105" s="12">
        <f>SUM(D102:D104)</f>
        <v>2288</v>
      </c>
      <c r="E105" s="104">
        <f>SUM(E103:E104)</f>
        <v>2288</v>
      </c>
      <c r="F105" s="14">
        <f t="shared" si="1"/>
        <v>1</v>
      </c>
    </row>
    <row r="106" spans="1:6" ht="23.25" customHeight="1">
      <c r="A106" s="50"/>
      <c r="B106" s="25">
        <v>75109</v>
      </c>
      <c r="C106" s="53" t="s">
        <v>236</v>
      </c>
      <c r="D106" s="12"/>
      <c r="E106" s="104"/>
      <c r="F106" s="14"/>
    </row>
    <row r="107" spans="1:6" ht="12.75">
      <c r="A107" s="50"/>
      <c r="B107" s="25"/>
      <c r="C107" s="40" t="s">
        <v>114</v>
      </c>
      <c r="D107" s="12"/>
      <c r="E107" s="104"/>
      <c r="F107" s="14"/>
    </row>
    <row r="108" spans="1:6" ht="12.75">
      <c r="A108" s="50"/>
      <c r="B108" s="25"/>
      <c r="C108" s="40" t="s">
        <v>138</v>
      </c>
      <c r="D108" s="12">
        <f>958+135+5970</f>
        <v>7063</v>
      </c>
      <c r="E108" s="104">
        <f>708.59+100.47+4520</f>
        <v>5329.06</v>
      </c>
      <c r="F108" s="14">
        <f t="shared" si="1"/>
        <v>0.7545037519467649</v>
      </c>
    </row>
    <row r="109" spans="1:6" ht="12.75">
      <c r="A109" s="50"/>
      <c r="B109" s="25"/>
      <c r="C109" s="40" t="s">
        <v>194</v>
      </c>
      <c r="D109" s="12">
        <f>70956-7063</f>
        <v>63893</v>
      </c>
      <c r="E109" s="104">
        <f>40895-5329.06</f>
        <v>35565.94</v>
      </c>
      <c r="F109" s="14">
        <f t="shared" si="1"/>
        <v>0.5566484591426292</v>
      </c>
    </row>
    <row r="110" spans="1:6" ht="16.5" customHeight="1">
      <c r="A110" s="50"/>
      <c r="B110" s="39">
        <v>75109</v>
      </c>
      <c r="C110" s="40" t="s">
        <v>62</v>
      </c>
      <c r="D110" s="12">
        <f>SUM(D108:D109)</f>
        <v>70956</v>
      </c>
      <c r="E110" s="104">
        <f>SUM(E108:E109)</f>
        <v>40895</v>
      </c>
      <c r="F110" s="14">
        <f t="shared" si="1"/>
        <v>0.5763430858560235</v>
      </c>
    </row>
    <row r="111" spans="1:6" ht="21" customHeight="1">
      <c r="A111" s="54">
        <v>751</v>
      </c>
      <c r="B111" s="41"/>
      <c r="C111" s="37" t="s">
        <v>81</v>
      </c>
      <c r="D111" s="18">
        <f>SUM(D110,D105)</f>
        <v>73244</v>
      </c>
      <c r="E111" s="93">
        <f>SUM(E110,E105)</f>
        <v>43183</v>
      </c>
      <c r="F111" s="14">
        <f t="shared" si="1"/>
        <v>0.5895773032603353</v>
      </c>
    </row>
    <row r="112" spans="1:6" ht="15" customHeight="1">
      <c r="A112" s="55">
        <v>754</v>
      </c>
      <c r="B112" s="22"/>
      <c r="C112" s="56" t="s">
        <v>17</v>
      </c>
      <c r="D112" s="18"/>
      <c r="E112" s="93"/>
      <c r="F112" s="14"/>
    </row>
    <row r="113" spans="1:6" ht="12.75">
      <c r="A113" s="9" t="s">
        <v>44</v>
      </c>
      <c r="B113" s="25">
        <v>75412</v>
      </c>
      <c r="C113" s="26" t="s">
        <v>31</v>
      </c>
      <c r="D113" s="12"/>
      <c r="E113" s="104"/>
      <c r="F113" s="14"/>
    </row>
    <row r="114" spans="1:6" ht="12.75">
      <c r="A114" s="9"/>
      <c r="B114" s="25"/>
      <c r="C114" s="17" t="s">
        <v>78</v>
      </c>
      <c r="D114" s="12"/>
      <c r="E114" s="104"/>
      <c r="F114" s="14"/>
    </row>
    <row r="115" spans="1:6" ht="12" customHeight="1">
      <c r="A115" s="9"/>
      <c r="B115" s="28"/>
      <c r="C115" s="59" t="s">
        <v>64</v>
      </c>
      <c r="D115" s="27">
        <f>27500+2100+5400+800</f>
        <v>35800</v>
      </c>
      <c r="E115" s="105">
        <f>26609.34+1934.61+4927.58+699.22</f>
        <v>34170.75</v>
      </c>
      <c r="F115" s="14">
        <f t="shared" si="1"/>
        <v>0.9544902234636872</v>
      </c>
    </row>
    <row r="116" spans="1:6" ht="12.75">
      <c r="A116" s="33"/>
      <c r="B116" s="25"/>
      <c r="C116" s="60" t="s">
        <v>71</v>
      </c>
      <c r="D116" s="27">
        <v>7587</v>
      </c>
      <c r="E116" s="105">
        <v>7306.29</v>
      </c>
      <c r="F116" s="14">
        <f t="shared" si="1"/>
        <v>0.9630011862396204</v>
      </c>
    </row>
    <row r="117" spans="1:6" ht="12.75">
      <c r="A117" s="33"/>
      <c r="B117" s="28"/>
      <c r="C117" s="61" t="s">
        <v>68</v>
      </c>
      <c r="D117" s="62">
        <f>197887-35800-50269-7587</f>
        <v>104231</v>
      </c>
      <c r="E117" s="110">
        <f>187364.37-34170.75-50065.2-7306.29</f>
        <v>95822.13</v>
      </c>
      <c r="F117" s="46">
        <f t="shared" si="1"/>
        <v>0.9193246730819047</v>
      </c>
    </row>
    <row r="118" spans="1:6" ht="62.25" customHeight="1">
      <c r="A118" s="33"/>
      <c r="B118" s="28"/>
      <c r="C118" s="59" t="s">
        <v>134</v>
      </c>
      <c r="D118" s="27"/>
      <c r="E118" s="105"/>
      <c r="F118" s="14"/>
    </row>
    <row r="119" spans="1:6" ht="16.5" customHeight="1">
      <c r="A119" s="33"/>
      <c r="B119" s="28"/>
      <c r="C119" s="59" t="s">
        <v>195</v>
      </c>
      <c r="D119" s="27"/>
      <c r="E119" s="105"/>
      <c r="F119" s="14"/>
    </row>
    <row r="120" spans="1:6" ht="25.5" customHeight="1">
      <c r="A120" s="33"/>
      <c r="B120" s="28"/>
      <c r="C120" s="59" t="s">
        <v>172</v>
      </c>
      <c r="D120" s="27">
        <v>15000</v>
      </c>
      <c r="E120" s="105">
        <v>14797.48</v>
      </c>
      <c r="F120" s="14">
        <f t="shared" si="1"/>
        <v>0.9864986666666666</v>
      </c>
    </row>
    <row r="121" spans="1:6" ht="28.5" customHeight="1">
      <c r="A121" s="33"/>
      <c r="B121" s="28"/>
      <c r="C121" s="61" t="s">
        <v>196</v>
      </c>
      <c r="D121" s="27">
        <v>35269</v>
      </c>
      <c r="E121" s="105">
        <v>35267.72</v>
      </c>
      <c r="F121" s="14">
        <f t="shared" si="1"/>
        <v>0.9999637075051746</v>
      </c>
    </row>
    <row r="122" spans="1:6" ht="12.75">
      <c r="A122" s="33"/>
      <c r="B122" s="39">
        <v>75412</v>
      </c>
      <c r="C122" s="63" t="s">
        <v>62</v>
      </c>
      <c r="D122" s="27">
        <f>SUM(D115:D121)</f>
        <v>197887</v>
      </c>
      <c r="E122" s="105">
        <f>SUM(E115:E121)</f>
        <v>187364.37000000002</v>
      </c>
      <c r="F122" s="14">
        <f t="shared" si="1"/>
        <v>0.9468250567242923</v>
      </c>
    </row>
    <row r="123" spans="1:6" ht="12.75">
      <c r="A123" s="33"/>
      <c r="B123" s="25">
        <v>75414</v>
      </c>
      <c r="C123" s="64" t="s">
        <v>32</v>
      </c>
      <c r="D123" s="12"/>
      <c r="E123" s="104"/>
      <c r="F123" s="14"/>
    </row>
    <row r="124" spans="1:6" ht="24">
      <c r="A124" s="33"/>
      <c r="B124" s="25"/>
      <c r="C124" s="43" t="s">
        <v>197</v>
      </c>
      <c r="D124" s="12">
        <v>3000</v>
      </c>
      <c r="E124" s="104">
        <v>2999.99</v>
      </c>
      <c r="F124" s="14">
        <f t="shared" si="1"/>
        <v>0.9999966666666666</v>
      </c>
    </row>
    <row r="125" spans="1:6" ht="12.75">
      <c r="A125" s="33"/>
      <c r="B125" s="39">
        <v>75414</v>
      </c>
      <c r="C125" s="40" t="s">
        <v>62</v>
      </c>
      <c r="D125" s="12">
        <f>SUM(D124:D124)</f>
        <v>3000</v>
      </c>
      <c r="E125" s="104">
        <f>SUM(E124:E124)</f>
        <v>2999.99</v>
      </c>
      <c r="F125" s="14">
        <f t="shared" si="1"/>
        <v>0.9999966666666666</v>
      </c>
    </row>
    <row r="126" spans="1:6" ht="12.75">
      <c r="A126" s="9"/>
      <c r="B126" s="25">
        <v>75416</v>
      </c>
      <c r="C126" s="26" t="s">
        <v>33</v>
      </c>
      <c r="D126" s="12"/>
      <c r="E126" s="104"/>
      <c r="F126" s="14"/>
    </row>
    <row r="127" spans="1:6" ht="12.75">
      <c r="A127" s="9"/>
      <c r="B127" s="25"/>
      <c r="C127" s="17" t="s">
        <v>74</v>
      </c>
      <c r="D127" s="12"/>
      <c r="E127" s="104"/>
      <c r="F127" s="14"/>
    </row>
    <row r="128" spans="1:6" ht="12.75">
      <c r="A128" s="9"/>
      <c r="B128" s="25"/>
      <c r="C128" s="17" t="s">
        <v>64</v>
      </c>
      <c r="D128" s="12">
        <f>66474+5176+11650+1700</f>
        <v>85000</v>
      </c>
      <c r="E128" s="104">
        <f>66473.77+5014.36+11637.15+1651.3</f>
        <v>84776.58</v>
      </c>
      <c r="F128" s="14">
        <f t="shared" si="1"/>
        <v>0.9973715294117648</v>
      </c>
    </row>
    <row r="129" spans="1:6" ht="51.75" customHeight="1">
      <c r="A129" s="9"/>
      <c r="B129" s="25"/>
      <c r="C129" s="17" t="s">
        <v>173</v>
      </c>
      <c r="D129" s="12">
        <f>154600-85000-50000</f>
        <v>19600</v>
      </c>
      <c r="E129" s="104">
        <f>152293.03-48883.63-84776.58</f>
        <v>18632.819999999992</v>
      </c>
      <c r="F129" s="14">
        <f t="shared" si="1"/>
        <v>0.9506540816326526</v>
      </c>
    </row>
    <row r="130" spans="1:6" ht="14.25" customHeight="1">
      <c r="A130" s="9"/>
      <c r="B130" s="25"/>
      <c r="C130" s="17" t="s">
        <v>198</v>
      </c>
      <c r="D130" s="12">
        <v>50000</v>
      </c>
      <c r="E130" s="104">
        <v>48883.63</v>
      </c>
      <c r="F130" s="14"/>
    </row>
    <row r="131" spans="1:6" ht="12.75">
      <c r="A131" s="9"/>
      <c r="B131" s="39">
        <v>75416</v>
      </c>
      <c r="C131" s="17" t="s">
        <v>62</v>
      </c>
      <c r="D131" s="12">
        <f>SUM(D128:D130)</f>
        <v>154600</v>
      </c>
      <c r="E131" s="104">
        <f>SUM(E128:E130)</f>
        <v>152293.03</v>
      </c>
      <c r="F131" s="14">
        <f t="shared" si="1"/>
        <v>0.9850778137128072</v>
      </c>
    </row>
    <row r="132" spans="1:6" ht="12.75">
      <c r="A132" s="9"/>
      <c r="B132" s="25">
        <v>75495</v>
      </c>
      <c r="C132" s="53" t="s">
        <v>23</v>
      </c>
      <c r="D132" s="12"/>
      <c r="E132" s="104"/>
      <c r="F132" s="14"/>
    </row>
    <row r="133" spans="1:6" ht="12.75">
      <c r="A133" s="9"/>
      <c r="B133" s="25"/>
      <c r="C133" s="40" t="s">
        <v>199</v>
      </c>
      <c r="D133" s="12">
        <v>32000</v>
      </c>
      <c r="E133" s="104">
        <v>32000</v>
      </c>
      <c r="F133" s="14">
        <f t="shared" si="1"/>
        <v>1</v>
      </c>
    </row>
    <row r="134" spans="1:6" ht="12.75">
      <c r="A134" s="9"/>
      <c r="B134" s="25">
        <v>75495</v>
      </c>
      <c r="C134" s="40" t="s">
        <v>62</v>
      </c>
      <c r="D134" s="12">
        <f>SUM(D133)</f>
        <v>32000</v>
      </c>
      <c r="E134" s="104">
        <f>SUM(E133)</f>
        <v>32000</v>
      </c>
      <c r="F134" s="14">
        <f t="shared" si="1"/>
        <v>1</v>
      </c>
    </row>
    <row r="135" spans="1:6" ht="12.75">
      <c r="A135" s="18">
        <v>754</v>
      </c>
      <c r="B135" s="19"/>
      <c r="C135" s="37" t="s">
        <v>81</v>
      </c>
      <c r="D135" s="18">
        <f>SUM(D134,D131,D125,D122)</f>
        <v>387487</v>
      </c>
      <c r="E135" s="93">
        <f>SUM(E134,E131,E125,E122)</f>
        <v>374657.39</v>
      </c>
      <c r="F135" s="14">
        <f t="shared" si="1"/>
        <v>0.9668902182524833</v>
      </c>
    </row>
    <row r="136" spans="1:6" ht="42.75" customHeight="1">
      <c r="A136" s="55">
        <v>756</v>
      </c>
      <c r="B136" s="65"/>
      <c r="C136" s="40" t="s">
        <v>106</v>
      </c>
      <c r="D136" s="12"/>
      <c r="E136" s="104"/>
      <c r="F136" s="14"/>
    </row>
    <row r="137" spans="1:6" ht="15" customHeight="1">
      <c r="A137" s="33"/>
      <c r="B137" s="25">
        <v>75647</v>
      </c>
      <c r="C137" s="53" t="s">
        <v>107</v>
      </c>
      <c r="D137" s="12"/>
      <c r="E137" s="104"/>
      <c r="F137" s="14"/>
    </row>
    <row r="138" spans="1:6" ht="12.75">
      <c r="A138" s="33"/>
      <c r="B138" s="25"/>
      <c r="C138" s="40" t="s">
        <v>74</v>
      </c>
      <c r="D138" s="12"/>
      <c r="E138" s="104"/>
      <c r="F138" s="14"/>
    </row>
    <row r="139" spans="1:6" ht="24.75" customHeight="1">
      <c r="A139" s="33"/>
      <c r="B139" s="25"/>
      <c r="C139" s="40" t="s">
        <v>174</v>
      </c>
      <c r="D139" s="12">
        <f>6660+13528+1148+164</f>
        <v>21500</v>
      </c>
      <c r="E139" s="104">
        <f>164+1148+9554+6660</f>
        <v>17526</v>
      </c>
      <c r="F139" s="14">
        <f t="shared" si="1"/>
        <v>0.8151627906976744</v>
      </c>
    </row>
    <row r="140" spans="1:6" ht="24.75" customHeight="1">
      <c r="A140" s="33"/>
      <c r="B140" s="25"/>
      <c r="C140" s="40" t="s">
        <v>148</v>
      </c>
      <c r="D140" s="12">
        <f>88575-21500</f>
        <v>67075</v>
      </c>
      <c r="E140" s="104">
        <f>79429.81-17526</f>
        <v>61903.81</v>
      </c>
      <c r="F140" s="14">
        <f t="shared" si="1"/>
        <v>0.9229043607901602</v>
      </c>
    </row>
    <row r="141" spans="1:6" ht="12.75">
      <c r="A141" s="33"/>
      <c r="B141" s="39">
        <v>75647</v>
      </c>
      <c r="C141" s="40" t="s">
        <v>62</v>
      </c>
      <c r="D141" s="12">
        <f>SUM(D139:D140)</f>
        <v>88575</v>
      </c>
      <c r="E141" s="104">
        <f>SUM(E139:E140)</f>
        <v>79429.81</v>
      </c>
      <c r="F141" s="14">
        <f t="shared" si="1"/>
        <v>0.8967520180637877</v>
      </c>
    </row>
    <row r="142" spans="1:6" ht="12.75">
      <c r="A142" s="50">
        <v>756</v>
      </c>
      <c r="B142" s="66"/>
      <c r="C142" s="37" t="s">
        <v>81</v>
      </c>
      <c r="D142" s="18">
        <f>SUM(D141)</f>
        <v>88575</v>
      </c>
      <c r="E142" s="93">
        <f>SUM(E141)</f>
        <v>79429.81</v>
      </c>
      <c r="F142" s="14">
        <f t="shared" si="1"/>
        <v>0.8967520180637877</v>
      </c>
    </row>
    <row r="143" spans="1:6" ht="12.75">
      <c r="A143" s="21">
        <v>757</v>
      </c>
      <c r="B143" s="22"/>
      <c r="C143" s="23" t="s">
        <v>57</v>
      </c>
      <c r="D143" s="18"/>
      <c r="E143" s="93"/>
      <c r="F143" s="14"/>
    </row>
    <row r="144" spans="1:6" ht="23.25" customHeight="1">
      <c r="A144" s="54"/>
      <c r="B144" s="49">
        <v>75702</v>
      </c>
      <c r="C144" s="26" t="s">
        <v>58</v>
      </c>
      <c r="D144" s="12"/>
      <c r="E144" s="104"/>
      <c r="F144" s="14"/>
    </row>
    <row r="145" spans="1:6" ht="12.75" customHeight="1">
      <c r="A145" s="50"/>
      <c r="B145" s="51"/>
      <c r="C145" s="40" t="s">
        <v>15</v>
      </c>
      <c r="D145" s="12">
        <v>337228</v>
      </c>
      <c r="E145" s="104">
        <v>331308.71</v>
      </c>
      <c r="F145" s="14">
        <f t="shared" si="1"/>
        <v>0.9824472167198454</v>
      </c>
    </row>
    <row r="146" spans="1:6" ht="12.75" customHeight="1">
      <c r="A146" s="50"/>
      <c r="B146" s="39">
        <v>75702</v>
      </c>
      <c r="C146" s="40" t="s">
        <v>62</v>
      </c>
      <c r="D146" s="12">
        <f>SUM(D145)</f>
        <v>337228</v>
      </c>
      <c r="E146" s="104">
        <f>SUM(E145)</f>
        <v>331308.71</v>
      </c>
      <c r="F146" s="14">
        <f t="shared" si="1"/>
        <v>0.9824472167198454</v>
      </c>
    </row>
    <row r="147" spans="1:6" ht="12.75">
      <c r="A147" s="32">
        <v>757</v>
      </c>
      <c r="B147" s="67"/>
      <c r="C147" s="68" t="s">
        <v>94</v>
      </c>
      <c r="D147" s="18">
        <f>SUM(D146)</f>
        <v>337228</v>
      </c>
      <c r="E147" s="93">
        <f>SUM(E146)</f>
        <v>331308.71</v>
      </c>
      <c r="F147" s="14">
        <f t="shared" si="1"/>
        <v>0.9824472167198454</v>
      </c>
    </row>
    <row r="148" spans="1:6" ht="12.75">
      <c r="A148" s="55">
        <v>758</v>
      </c>
      <c r="B148" s="69"/>
      <c r="C148" s="23" t="s">
        <v>82</v>
      </c>
      <c r="D148" s="12"/>
      <c r="E148" s="104"/>
      <c r="F148" s="14"/>
    </row>
    <row r="149" spans="1:6" ht="12.75">
      <c r="A149" s="33"/>
      <c r="B149" s="49">
        <v>75814</v>
      </c>
      <c r="C149" s="26" t="s">
        <v>200</v>
      </c>
      <c r="D149" s="12"/>
      <c r="E149" s="104"/>
      <c r="F149" s="14"/>
    </row>
    <row r="150" spans="1:6" ht="12.75">
      <c r="A150" s="33"/>
      <c r="B150" s="25"/>
      <c r="C150" s="40" t="s">
        <v>25</v>
      </c>
      <c r="D150" s="12">
        <v>6343</v>
      </c>
      <c r="E150" s="104">
        <v>6343</v>
      </c>
      <c r="F150" s="14">
        <f t="shared" si="1"/>
        <v>1</v>
      </c>
    </row>
    <row r="151" spans="1:6" ht="12.75">
      <c r="A151" s="45"/>
      <c r="B151" s="39">
        <v>75814</v>
      </c>
      <c r="C151" s="40" t="s">
        <v>62</v>
      </c>
      <c r="D151" s="12">
        <f>SUM(D150)</f>
        <v>6343</v>
      </c>
      <c r="E151" s="104">
        <f>SUM(E150)</f>
        <v>6343</v>
      </c>
      <c r="F151" s="14">
        <f t="shared" si="1"/>
        <v>1</v>
      </c>
    </row>
    <row r="152" spans="1:6" ht="10.5" customHeight="1">
      <c r="A152" s="33">
        <v>758</v>
      </c>
      <c r="B152" s="71"/>
      <c r="C152" s="37" t="s">
        <v>81</v>
      </c>
      <c r="D152" s="18">
        <f>SUM(D151)</f>
        <v>6343</v>
      </c>
      <c r="E152" s="93">
        <f>SUM(E151)</f>
        <v>6343</v>
      </c>
      <c r="F152" s="14">
        <f t="shared" si="1"/>
        <v>1</v>
      </c>
    </row>
    <row r="153" spans="1:6" ht="12.75">
      <c r="A153" s="21">
        <v>801</v>
      </c>
      <c r="B153" s="22"/>
      <c r="C153" s="23" t="s">
        <v>84</v>
      </c>
      <c r="D153" s="18"/>
      <c r="E153" s="93"/>
      <c r="F153" s="14"/>
    </row>
    <row r="154" spans="1:6" ht="12.75">
      <c r="A154" s="24" t="s">
        <v>44</v>
      </c>
      <c r="B154" s="25">
        <v>80101</v>
      </c>
      <c r="C154" s="26" t="s">
        <v>79</v>
      </c>
      <c r="D154" s="12"/>
      <c r="E154" s="104"/>
      <c r="F154" s="14"/>
    </row>
    <row r="155" spans="1:6" ht="12.75">
      <c r="A155" s="9"/>
      <c r="B155" s="25"/>
      <c r="C155" s="17" t="s">
        <v>120</v>
      </c>
      <c r="D155" s="12"/>
      <c r="E155" s="104"/>
      <c r="F155" s="14"/>
    </row>
    <row r="156" spans="1:6" ht="50.25" customHeight="1">
      <c r="A156" s="9"/>
      <c r="B156" s="28"/>
      <c r="C156" s="59" t="s">
        <v>217</v>
      </c>
      <c r="D156" s="29">
        <f>463802+1147162+839640+541764+343226+389921+439529+3317+3600+700</f>
        <v>4172661</v>
      </c>
      <c r="E156" s="108">
        <f>463799.47+1137528.06+839638.28+535292.27+338790.03+378161.07+439237.67+3600+700</f>
        <v>4136746.85</v>
      </c>
      <c r="F156" s="14">
        <f t="shared" si="1"/>
        <v>0.991392986394054</v>
      </c>
    </row>
    <row r="157" spans="1:6" ht="12.75">
      <c r="A157" s="33"/>
      <c r="B157" s="25"/>
      <c r="C157" s="59" t="s">
        <v>71</v>
      </c>
      <c r="D157" s="27">
        <v>2852</v>
      </c>
      <c r="E157" s="105">
        <v>2847.87</v>
      </c>
      <c r="F157" s="14">
        <f t="shared" si="1"/>
        <v>0.9985518934081345</v>
      </c>
    </row>
    <row r="158" spans="1:6" ht="36" customHeight="1">
      <c r="A158" s="9"/>
      <c r="B158" s="28"/>
      <c r="C158" s="59" t="s">
        <v>218</v>
      </c>
      <c r="D158" s="29">
        <f>133968+185254+212811+209103+87100+106361+86993+10802+6125+1450-18531-2852</f>
        <v>1018584</v>
      </c>
      <c r="E158" s="108">
        <f>124906.54+181744.77+208389.92+193221.31+86367.77+104443.39+84860.68+1446.14+6125.2+10721.02-18258.64-2847.87</f>
        <v>981120.2300000001</v>
      </c>
      <c r="F158" s="14">
        <f t="shared" si="1"/>
        <v>0.9632197540899917</v>
      </c>
    </row>
    <row r="159" spans="1:6" ht="12" customHeight="1">
      <c r="A159" s="9"/>
      <c r="B159" s="28"/>
      <c r="C159" s="61" t="s">
        <v>8</v>
      </c>
      <c r="D159" s="29"/>
      <c r="E159" s="108"/>
      <c r="F159" s="14"/>
    </row>
    <row r="160" spans="1:6" ht="49.5" customHeight="1">
      <c r="A160" s="9"/>
      <c r="B160" s="28"/>
      <c r="C160" s="61" t="s">
        <v>201</v>
      </c>
      <c r="D160" s="29">
        <v>184163</v>
      </c>
      <c r="E160" s="108">
        <v>184162.67</v>
      </c>
      <c r="F160" s="14">
        <f t="shared" si="1"/>
        <v>0.9999982081091208</v>
      </c>
    </row>
    <row r="161" spans="1:6" ht="62.25" customHeight="1">
      <c r="A161" s="9"/>
      <c r="B161" s="28"/>
      <c r="C161" s="61" t="s">
        <v>202</v>
      </c>
      <c r="D161" s="29">
        <v>368718</v>
      </c>
      <c r="E161" s="108">
        <f>14518+262257.78</f>
        <v>276775.78</v>
      </c>
      <c r="F161" s="14">
        <f t="shared" si="1"/>
        <v>0.7506435270314984</v>
      </c>
    </row>
    <row r="162" spans="1:6" ht="12.75" customHeight="1">
      <c r="A162" s="9"/>
      <c r="B162" s="28"/>
      <c r="C162" s="61" t="s">
        <v>159</v>
      </c>
      <c r="D162" s="29">
        <v>12000</v>
      </c>
      <c r="E162" s="108">
        <v>11728</v>
      </c>
      <c r="F162" s="14">
        <f t="shared" si="1"/>
        <v>0.9773333333333334</v>
      </c>
    </row>
    <row r="163" spans="1:6" ht="12" customHeight="1">
      <c r="A163" s="9"/>
      <c r="B163" s="28"/>
      <c r="C163" s="61" t="s">
        <v>160</v>
      </c>
      <c r="D163" s="29">
        <v>6531</v>
      </c>
      <c r="E163" s="108">
        <v>6530.64</v>
      </c>
      <c r="F163" s="14">
        <f t="shared" si="1"/>
        <v>0.9999448782728526</v>
      </c>
    </row>
    <row r="164" spans="1:6" ht="12" customHeight="1">
      <c r="A164" s="9"/>
      <c r="B164" s="39">
        <v>80101</v>
      </c>
      <c r="C164" s="61" t="s">
        <v>62</v>
      </c>
      <c r="D164" s="27">
        <f>SUM(D156:D163)</f>
        <v>5765509</v>
      </c>
      <c r="E164" s="105">
        <f>SUM(E156:E163)</f>
        <v>5599912.04</v>
      </c>
      <c r="F164" s="14">
        <f t="shared" si="1"/>
        <v>0.9712779981784783</v>
      </c>
    </row>
    <row r="165" spans="1:6" ht="12.75">
      <c r="A165" s="9"/>
      <c r="B165" s="25">
        <v>80103</v>
      </c>
      <c r="C165" s="61" t="s">
        <v>237</v>
      </c>
      <c r="D165" s="27"/>
      <c r="E165" s="105"/>
      <c r="F165" s="14"/>
    </row>
    <row r="166" spans="1:6" ht="12.75">
      <c r="A166" s="9"/>
      <c r="B166" s="25"/>
      <c r="C166" s="61" t="s">
        <v>120</v>
      </c>
      <c r="D166" s="27"/>
      <c r="E166" s="105"/>
      <c r="F166" s="14"/>
    </row>
    <row r="167" spans="1:6" ht="12.75">
      <c r="A167" s="9"/>
      <c r="B167" s="25"/>
      <c r="C167" s="61" t="s">
        <v>64</v>
      </c>
      <c r="D167" s="27">
        <f>84602+55843+86344+157100+36718+63663+121133</f>
        <v>605403</v>
      </c>
      <c r="E167" s="105">
        <f>84517.4+55085.27+86342.26+154164.53+36705.69+61566.97+120984.53</f>
        <v>599366.65</v>
      </c>
      <c r="F167" s="14">
        <f t="shared" si="1"/>
        <v>0.9900292036874612</v>
      </c>
    </row>
    <row r="168" spans="1:6" ht="12.75" customHeight="1">
      <c r="A168" s="9"/>
      <c r="B168" s="25"/>
      <c r="C168" s="61" t="s">
        <v>63</v>
      </c>
      <c r="D168" s="27">
        <f>19121+38576+33518+35795+8607+16853+33875</f>
        <v>186345</v>
      </c>
      <c r="E168" s="105">
        <f>19062.48+38546.81+33484.74+35731.56+8605.26+16851.29+30939.03+290.5</f>
        <v>183511.67</v>
      </c>
      <c r="F168" s="14">
        <f t="shared" si="1"/>
        <v>0.9847952453781964</v>
      </c>
    </row>
    <row r="169" spans="1:6" ht="12.75" customHeight="1">
      <c r="A169" s="9"/>
      <c r="B169" s="25"/>
      <c r="C169" s="61" t="s">
        <v>124</v>
      </c>
      <c r="D169" s="27"/>
      <c r="E169" s="105"/>
      <c r="F169" s="14"/>
    </row>
    <row r="170" spans="1:6" ht="39.75" customHeight="1">
      <c r="A170" s="9"/>
      <c r="B170" s="25"/>
      <c r="C170" s="61" t="s">
        <v>203</v>
      </c>
      <c r="D170" s="27">
        <v>297700</v>
      </c>
      <c r="E170" s="105">
        <v>296329.37</v>
      </c>
      <c r="F170" s="14">
        <f t="shared" si="1"/>
        <v>0.9953959355055425</v>
      </c>
    </row>
    <row r="171" spans="1:6" ht="38.25" customHeight="1">
      <c r="A171" s="9"/>
      <c r="B171" s="25"/>
      <c r="C171" s="61" t="s">
        <v>204</v>
      </c>
      <c r="D171" s="29">
        <v>32000</v>
      </c>
      <c r="E171" s="108">
        <v>31673.63</v>
      </c>
      <c r="F171" s="14">
        <f t="shared" si="1"/>
        <v>0.9898009375</v>
      </c>
    </row>
    <row r="172" spans="1:6" ht="12.75">
      <c r="A172" s="9"/>
      <c r="B172" s="25">
        <v>80103</v>
      </c>
      <c r="C172" s="61" t="s">
        <v>62</v>
      </c>
      <c r="D172" s="27">
        <f>SUM(D167:D171)</f>
        <v>1121448</v>
      </c>
      <c r="E172" s="105">
        <f>SUM(E167:E171)</f>
        <v>1110881.3199999998</v>
      </c>
      <c r="F172" s="14">
        <f t="shared" si="1"/>
        <v>0.9905776460433295</v>
      </c>
    </row>
    <row r="173" spans="1:6" ht="12.75">
      <c r="A173" s="9"/>
      <c r="B173" s="47">
        <v>80104</v>
      </c>
      <c r="C173" s="26" t="s">
        <v>96</v>
      </c>
      <c r="D173" s="12"/>
      <c r="E173" s="104"/>
      <c r="F173" s="14"/>
    </row>
    <row r="174" spans="1:6" ht="12.75">
      <c r="A174" s="9"/>
      <c r="B174" s="28"/>
      <c r="C174" s="17" t="s">
        <v>74</v>
      </c>
      <c r="D174" s="12"/>
      <c r="E174" s="104"/>
      <c r="F174" s="14"/>
    </row>
    <row r="175" spans="1:6" ht="12.75">
      <c r="A175" s="33"/>
      <c r="B175" s="25"/>
      <c r="C175" s="17" t="s">
        <v>64</v>
      </c>
      <c r="D175" s="12">
        <v>540950</v>
      </c>
      <c r="E175" s="104">
        <v>540327.28</v>
      </c>
      <c r="F175" s="14">
        <f t="shared" si="1"/>
        <v>0.9988488400036972</v>
      </c>
    </row>
    <row r="176" spans="1:6" ht="24.75" customHeight="1">
      <c r="A176" s="9"/>
      <c r="B176" s="28"/>
      <c r="C176" s="17" t="s">
        <v>219</v>
      </c>
      <c r="D176" s="12">
        <f>243853+3723</f>
        <v>247576</v>
      </c>
      <c r="E176" s="104">
        <f>202289.23+3715</f>
        <v>206004.23</v>
      </c>
      <c r="F176" s="14">
        <f t="shared" si="1"/>
        <v>0.8320848143600349</v>
      </c>
    </row>
    <row r="177" spans="1:6" ht="12.75">
      <c r="A177" s="9"/>
      <c r="B177" s="25">
        <v>80104</v>
      </c>
      <c r="C177" s="42" t="s">
        <v>62</v>
      </c>
      <c r="D177" s="12">
        <f>SUM(D175:D176)</f>
        <v>788526</v>
      </c>
      <c r="E177" s="104">
        <f>SUM(E175:E176)</f>
        <v>746331.51</v>
      </c>
      <c r="F177" s="14">
        <f t="shared" si="1"/>
        <v>0.9464894118900328</v>
      </c>
    </row>
    <row r="178" spans="1:6" ht="12.75">
      <c r="A178" s="9"/>
      <c r="B178" s="47">
        <v>80110</v>
      </c>
      <c r="C178" s="26" t="s">
        <v>34</v>
      </c>
      <c r="D178" s="12"/>
      <c r="E178" s="104"/>
      <c r="F178" s="14"/>
    </row>
    <row r="179" spans="1:6" ht="12.75">
      <c r="A179" s="9"/>
      <c r="B179" s="25"/>
      <c r="C179" s="17" t="s">
        <v>121</v>
      </c>
      <c r="D179" s="12"/>
      <c r="E179" s="104"/>
      <c r="F179" s="14"/>
    </row>
    <row r="180" spans="1:6" ht="15" customHeight="1">
      <c r="A180" s="9"/>
      <c r="B180" s="25"/>
      <c r="C180" s="59" t="s">
        <v>66</v>
      </c>
      <c r="D180" s="27">
        <v>2220155</v>
      </c>
      <c r="E180" s="105">
        <v>2220153.01</v>
      </c>
      <c r="F180" s="14">
        <f t="shared" si="1"/>
        <v>0.9999991036661854</v>
      </c>
    </row>
    <row r="181" spans="1:6" ht="24.75" customHeight="1">
      <c r="A181" s="9"/>
      <c r="B181" s="25"/>
      <c r="C181" s="59" t="s">
        <v>140</v>
      </c>
      <c r="D181" s="12">
        <f>324440+27374</f>
        <v>351814</v>
      </c>
      <c r="E181" s="104">
        <f>324329.41+14712.85</f>
        <v>339042.25999999995</v>
      </c>
      <c r="F181" s="14">
        <f t="shared" si="1"/>
        <v>0.9636974651378284</v>
      </c>
    </row>
    <row r="182" spans="1:6" ht="13.5" customHeight="1">
      <c r="A182" s="9"/>
      <c r="B182" s="25"/>
      <c r="C182" s="59" t="s">
        <v>129</v>
      </c>
      <c r="D182" s="12"/>
      <c r="E182" s="104"/>
      <c r="F182" s="14"/>
    </row>
    <row r="183" spans="1:6" ht="27" customHeight="1">
      <c r="A183" s="9"/>
      <c r="B183" s="25"/>
      <c r="C183" s="17" t="s">
        <v>229</v>
      </c>
      <c r="D183" s="12">
        <f>153000</f>
        <v>153000</v>
      </c>
      <c r="E183" s="104">
        <v>152283.62</v>
      </c>
      <c r="F183" s="14">
        <f t="shared" si="1"/>
        <v>0.9953177777777777</v>
      </c>
    </row>
    <row r="184" spans="1:6" ht="12.75">
      <c r="A184" s="33"/>
      <c r="B184" s="39">
        <v>80110</v>
      </c>
      <c r="C184" s="36" t="s">
        <v>62</v>
      </c>
      <c r="D184" s="12">
        <f>SUM(D180:D183)</f>
        <v>2724969</v>
      </c>
      <c r="E184" s="104">
        <f>SUM(E180:E183)</f>
        <v>2711478.8899999997</v>
      </c>
      <c r="F184" s="14">
        <f t="shared" si="1"/>
        <v>0.9950494445991861</v>
      </c>
    </row>
    <row r="185" spans="1:6" ht="12.75">
      <c r="A185" s="9"/>
      <c r="B185" s="25">
        <v>80113</v>
      </c>
      <c r="C185" s="72" t="s">
        <v>35</v>
      </c>
      <c r="D185" s="12"/>
      <c r="E185" s="104"/>
      <c r="F185" s="14"/>
    </row>
    <row r="186" spans="1:6" ht="15" customHeight="1">
      <c r="A186" s="33"/>
      <c r="B186" s="25"/>
      <c r="C186" s="36" t="s">
        <v>74</v>
      </c>
      <c r="D186" s="12"/>
      <c r="E186" s="104"/>
      <c r="F186" s="14"/>
    </row>
    <row r="187" spans="1:6" ht="27" customHeight="1">
      <c r="A187" s="33"/>
      <c r="B187" s="25"/>
      <c r="C187" s="36" t="s">
        <v>101</v>
      </c>
      <c r="D187" s="12">
        <f>49400+1500+8800+1300</f>
        <v>61000</v>
      </c>
      <c r="E187" s="104">
        <f>49085.81+1340.28+8723.45+1237.44</f>
        <v>60386.979999999996</v>
      </c>
      <c r="F187" s="14">
        <f t="shared" si="1"/>
        <v>0.9899504918032787</v>
      </c>
    </row>
    <row r="188" spans="1:6" ht="129" customHeight="1">
      <c r="A188" s="33"/>
      <c r="B188" s="25"/>
      <c r="C188" s="36" t="s">
        <v>16</v>
      </c>
      <c r="D188" s="12">
        <f>527784-48000-61000</f>
        <v>418784</v>
      </c>
      <c r="E188" s="104">
        <f>496589.85-48000-60386.98</f>
        <v>388202.87</v>
      </c>
      <c r="F188" s="14">
        <f t="shared" si="1"/>
        <v>0.9269763649041033</v>
      </c>
    </row>
    <row r="189" spans="1:6" ht="58.5" customHeight="1">
      <c r="A189" s="33"/>
      <c r="B189" s="25"/>
      <c r="C189" s="36" t="s">
        <v>0</v>
      </c>
      <c r="D189" s="12">
        <v>48000</v>
      </c>
      <c r="E189" s="104">
        <v>48000</v>
      </c>
      <c r="F189" s="14">
        <f t="shared" si="1"/>
        <v>1</v>
      </c>
    </row>
    <row r="190" spans="1:6" ht="12" customHeight="1">
      <c r="A190" s="9"/>
      <c r="B190" s="39">
        <v>80113</v>
      </c>
      <c r="C190" s="35" t="s">
        <v>62</v>
      </c>
      <c r="D190" s="12">
        <f>SUM(D187:D189)</f>
        <v>527784</v>
      </c>
      <c r="E190" s="104">
        <f>SUM(E187:E189)</f>
        <v>496589.85</v>
      </c>
      <c r="F190" s="14">
        <f t="shared" si="1"/>
        <v>0.9408959915419944</v>
      </c>
    </row>
    <row r="191" spans="1:6" ht="12" customHeight="1">
      <c r="A191" s="9"/>
      <c r="B191" s="25">
        <v>80120</v>
      </c>
      <c r="C191" s="72" t="s">
        <v>137</v>
      </c>
      <c r="D191" s="12"/>
      <c r="E191" s="104"/>
      <c r="F191" s="14"/>
    </row>
    <row r="192" spans="1:6" ht="12" customHeight="1">
      <c r="A192" s="9"/>
      <c r="B192" s="25"/>
      <c r="C192" s="35" t="s">
        <v>131</v>
      </c>
      <c r="D192" s="12"/>
      <c r="E192" s="104"/>
      <c r="F192" s="14"/>
    </row>
    <row r="193" spans="1:6" ht="23.25" customHeight="1">
      <c r="A193" s="9"/>
      <c r="B193" s="25"/>
      <c r="C193" s="35" t="s">
        <v>2</v>
      </c>
      <c r="D193" s="12">
        <f>20748+6836</f>
        <v>27584</v>
      </c>
      <c r="E193" s="104">
        <f>20747.4+6836</f>
        <v>27583.4</v>
      </c>
      <c r="F193" s="14">
        <f>E193/D193</f>
        <v>0.9999782482598608</v>
      </c>
    </row>
    <row r="194" spans="1:6" ht="24" customHeight="1">
      <c r="A194" s="9"/>
      <c r="B194" s="25"/>
      <c r="C194" s="35" t="s">
        <v>3</v>
      </c>
      <c r="D194" s="12">
        <f>19296+3196+3760</f>
        <v>26252</v>
      </c>
      <c r="E194" s="104">
        <f>19280.41+3067.42+3759.8</f>
        <v>26107.63</v>
      </c>
      <c r="F194" s="14">
        <f>E194/D194</f>
        <v>0.9945006094773732</v>
      </c>
    </row>
    <row r="195" spans="1:6" ht="12" customHeight="1">
      <c r="A195" s="9"/>
      <c r="B195" s="39">
        <v>80120</v>
      </c>
      <c r="C195" s="35" t="s">
        <v>62</v>
      </c>
      <c r="D195" s="12">
        <f>SUM(D193:D194)</f>
        <v>53836</v>
      </c>
      <c r="E195" s="104">
        <f>SUM(E193:E194)</f>
        <v>53691.03</v>
      </c>
      <c r="F195" s="14">
        <f>E195/D195</f>
        <v>0.9973071922133888</v>
      </c>
    </row>
    <row r="196" spans="1:6" ht="13.5" customHeight="1">
      <c r="A196" s="9"/>
      <c r="B196" s="25">
        <v>80146</v>
      </c>
      <c r="C196" s="72" t="s">
        <v>83</v>
      </c>
      <c r="D196" s="12"/>
      <c r="E196" s="104"/>
      <c r="F196" s="14"/>
    </row>
    <row r="197" spans="1:6" ht="79.5" customHeight="1">
      <c r="A197" s="9"/>
      <c r="B197" s="25"/>
      <c r="C197" s="35" t="s">
        <v>220</v>
      </c>
      <c r="D197" s="12">
        <v>41000</v>
      </c>
      <c r="E197" s="104">
        <v>27939.32</v>
      </c>
      <c r="F197" s="14">
        <f>E197/D197</f>
        <v>0.6814468292682927</v>
      </c>
    </row>
    <row r="198" spans="1:6" ht="12.75">
      <c r="A198" s="9"/>
      <c r="B198" s="25">
        <v>80146</v>
      </c>
      <c r="C198" s="35" t="s">
        <v>62</v>
      </c>
      <c r="D198" s="12">
        <f>SUM(D197:D197)</f>
        <v>41000</v>
      </c>
      <c r="E198" s="104">
        <f>SUM(E197:E197)</f>
        <v>27939.32</v>
      </c>
      <c r="F198" s="14">
        <f>E198/D198</f>
        <v>0.6814468292682927</v>
      </c>
    </row>
    <row r="199" spans="1:6" ht="12.75">
      <c r="A199" s="9"/>
      <c r="B199" s="47">
        <v>80195</v>
      </c>
      <c r="C199" s="72" t="s">
        <v>23</v>
      </c>
      <c r="D199" s="12"/>
      <c r="E199" s="104"/>
      <c r="F199" s="14"/>
    </row>
    <row r="200" spans="1:6" ht="12.75">
      <c r="A200" s="33"/>
      <c r="B200" s="25"/>
      <c r="C200" s="17" t="s">
        <v>74</v>
      </c>
      <c r="D200" s="12"/>
      <c r="E200" s="104"/>
      <c r="F200" s="14"/>
    </row>
    <row r="201" spans="1:6" ht="12.75">
      <c r="A201" s="33"/>
      <c r="B201" s="25"/>
      <c r="C201" s="17" t="s">
        <v>102</v>
      </c>
      <c r="D201" s="12">
        <v>55000</v>
      </c>
      <c r="E201" s="104">
        <v>55000</v>
      </c>
      <c r="F201" s="14">
        <f aca="true" t="shared" si="2" ref="F201:F259">E201/D201</f>
        <v>1</v>
      </c>
    </row>
    <row r="202" spans="1:6" ht="12" customHeight="1">
      <c r="A202" s="33"/>
      <c r="B202" s="25"/>
      <c r="C202" s="42" t="s">
        <v>221</v>
      </c>
      <c r="D202" s="12">
        <v>2000</v>
      </c>
      <c r="E202" s="104">
        <v>1500</v>
      </c>
      <c r="F202" s="14">
        <f t="shared" si="2"/>
        <v>0.75</v>
      </c>
    </row>
    <row r="203" spans="1:6" ht="93" customHeight="1">
      <c r="A203" s="33"/>
      <c r="B203" s="25"/>
      <c r="C203" s="42" t="s">
        <v>222</v>
      </c>
      <c r="D203" s="12">
        <f>910+22913+33517-2000</f>
        <v>55340</v>
      </c>
      <c r="E203" s="104">
        <f>910+16915.74+33135.06-1500</f>
        <v>49460.8</v>
      </c>
      <c r="F203" s="14">
        <f t="shared" si="2"/>
        <v>0.8937621973256235</v>
      </c>
    </row>
    <row r="204" spans="1:6" ht="12.75">
      <c r="A204" s="33"/>
      <c r="B204" s="39">
        <v>80195</v>
      </c>
      <c r="C204" s="42" t="s">
        <v>62</v>
      </c>
      <c r="D204" s="12">
        <f>SUM(D201:D203)</f>
        <v>112340</v>
      </c>
      <c r="E204" s="104">
        <f>SUM(E201:E203)</f>
        <v>105960.8</v>
      </c>
      <c r="F204" s="14">
        <f t="shared" si="2"/>
        <v>0.9432152394516646</v>
      </c>
    </row>
    <row r="205" spans="1:6" ht="12.75">
      <c r="A205" s="18">
        <v>801</v>
      </c>
      <c r="B205" s="73"/>
      <c r="C205" s="74" t="s">
        <v>81</v>
      </c>
      <c r="D205" s="18">
        <f>SUM(D204,D198,D195,D190,D184,D177,D172,D164)</f>
        <v>11135412</v>
      </c>
      <c r="E205" s="93">
        <f>SUM(E204,E198,E195,E190,E184,E177,E172,E164)</f>
        <v>10852784.759999998</v>
      </c>
      <c r="F205" s="14">
        <f t="shared" si="2"/>
        <v>0.9746190585494275</v>
      </c>
    </row>
    <row r="206" spans="1:6" ht="12.75">
      <c r="A206" s="21">
        <v>851</v>
      </c>
      <c r="B206" s="22"/>
      <c r="C206" s="23" t="s">
        <v>51</v>
      </c>
      <c r="D206" s="18"/>
      <c r="E206" s="93"/>
      <c r="F206" s="14"/>
    </row>
    <row r="207" spans="1:6" ht="16.5" customHeight="1">
      <c r="A207" s="21" t="s">
        <v>44</v>
      </c>
      <c r="B207" s="25">
        <v>85154</v>
      </c>
      <c r="C207" s="53" t="s">
        <v>85</v>
      </c>
      <c r="D207" s="12"/>
      <c r="E207" s="104"/>
      <c r="F207" s="14"/>
    </row>
    <row r="208" spans="1:6" ht="12.75">
      <c r="A208" s="33"/>
      <c r="B208" s="25"/>
      <c r="C208" s="36" t="s">
        <v>74</v>
      </c>
      <c r="D208" s="12"/>
      <c r="E208" s="104"/>
      <c r="F208" s="14"/>
    </row>
    <row r="209" spans="1:6" ht="14.25" customHeight="1">
      <c r="A209" s="9"/>
      <c r="B209" s="25"/>
      <c r="C209" s="36" t="s">
        <v>67</v>
      </c>
      <c r="D209" s="12">
        <f>20460+3000+80000+24000</f>
        <v>127460</v>
      </c>
      <c r="E209" s="104">
        <f>24000+80000+3000+16027</f>
        <v>123027</v>
      </c>
      <c r="F209" s="14">
        <f t="shared" si="2"/>
        <v>0.9652204613211988</v>
      </c>
    </row>
    <row r="210" spans="1:6" ht="18.75" customHeight="1">
      <c r="A210" s="9"/>
      <c r="B210" s="25"/>
      <c r="C210" s="36" t="s">
        <v>99</v>
      </c>
      <c r="D210" s="12">
        <v>16000</v>
      </c>
      <c r="E210" s="104">
        <v>11970</v>
      </c>
      <c r="F210" s="14">
        <f t="shared" si="2"/>
        <v>0.748125</v>
      </c>
    </row>
    <row r="211" spans="1:6" ht="18" customHeight="1">
      <c r="A211" s="9"/>
      <c r="B211" s="25"/>
      <c r="C211" s="36" t="s">
        <v>68</v>
      </c>
      <c r="D211" s="12">
        <v>59499</v>
      </c>
      <c r="E211" s="104">
        <f>26437.74+27709.95</f>
        <v>54147.69</v>
      </c>
      <c r="F211" s="14">
        <f t="shared" si="2"/>
        <v>0.9100605052185752</v>
      </c>
    </row>
    <row r="212" spans="1:6" ht="12.75">
      <c r="A212" s="9"/>
      <c r="B212" s="39">
        <v>85154</v>
      </c>
      <c r="C212" s="40" t="s">
        <v>62</v>
      </c>
      <c r="D212" s="12">
        <f>SUM(D209:D211)</f>
        <v>202959</v>
      </c>
      <c r="E212" s="104">
        <f>SUM(E209:E211)</f>
        <v>189144.69</v>
      </c>
      <c r="F212" s="14">
        <f t="shared" si="2"/>
        <v>0.931935464798309</v>
      </c>
    </row>
    <row r="213" spans="1:6" ht="12.75">
      <c r="A213" s="9"/>
      <c r="B213" s="76">
        <v>85195</v>
      </c>
      <c r="C213" s="53" t="s">
        <v>23</v>
      </c>
      <c r="D213" s="12"/>
      <c r="E213" s="104"/>
      <c r="F213" s="14"/>
    </row>
    <row r="214" spans="1:6" ht="12.75">
      <c r="A214" s="9"/>
      <c r="B214" s="57"/>
      <c r="C214" s="17" t="s">
        <v>25</v>
      </c>
      <c r="D214" s="12">
        <v>60</v>
      </c>
      <c r="E214" s="104">
        <v>60</v>
      </c>
      <c r="F214" s="14">
        <f t="shared" si="2"/>
        <v>1</v>
      </c>
    </row>
    <row r="215" spans="1:6" ht="12.75">
      <c r="A215" s="9"/>
      <c r="B215" s="77">
        <v>85195</v>
      </c>
      <c r="C215" s="40" t="s">
        <v>62</v>
      </c>
      <c r="D215" s="12">
        <f>SUM(D214)</f>
        <v>60</v>
      </c>
      <c r="E215" s="104">
        <f>SUM(E214)</f>
        <v>60</v>
      </c>
      <c r="F215" s="14">
        <f t="shared" si="2"/>
        <v>1</v>
      </c>
    </row>
    <row r="216" spans="1:6" ht="12.75">
      <c r="A216" s="32">
        <v>851</v>
      </c>
      <c r="B216" s="19"/>
      <c r="C216" s="37" t="s">
        <v>81</v>
      </c>
      <c r="D216" s="18">
        <f>SUM(D215,D212)</f>
        <v>203019</v>
      </c>
      <c r="E216" s="93">
        <f>SUM(E215,E212)</f>
        <v>189204.69</v>
      </c>
      <c r="F216" s="14">
        <f t="shared" si="2"/>
        <v>0.9319555805121689</v>
      </c>
    </row>
    <row r="217" spans="1:6" ht="12.75">
      <c r="A217" s="55">
        <v>852</v>
      </c>
      <c r="B217" s="22"/>
      <c r="C217" s="23" t="s">
        <v>93</v>
      </c>
      <c r="D217" s="18"/>
      <c r="E217" s="93"/>
      <c r="F217" s="14"/>
    </row>
    <row r="218" spans="1:6" ht="22.5" customHeight="1">
      <c r="A218" s="9"/>
      <c r="B218" s="57">
        <v>85212</v>
      </c>
      <c r="C218" s="75" t="s">
        <v>122</v>
      </c>
      <c r="D218" s="12"/>
      <c r="E218" s="104"/>
      <c r="F218" s="14"/>
    </row>
    <row r="219" spans="1:6" ht="12.75">
      <c r="A219" s="9"/>
      <c r="B219" s="57"/>
      <c r="C219" s="58" t="s">
        <v>74</v>
      </c>
      <c r="D219" s="12"/>
      <c r="E219" s="104"/>
      <c r="F219" s="14"/>
    </row>
    <row r="220" spans="1:6" ht="35.25" customHeight="1">
      <c r="A220" s="9"/>
      <c r="B220" s="57"/>
      <c r="C220" s="58" t="s">
        <v>223</v>
      </c>
      <c r="D220" s="12">
        <f>57557+1823+54687+1455</f>
        <v>115522</v>
      </c>
      <c r="E220" s="104">
        <f>1239.28+51831.63+1822.55+49480.39</f>
        <v>104373.85</v>
      </c>
      <c r="F220" s="14">
        <f t="shared" si="2"/>
        <v>0.9034976021883279</v>
      </c>
    </row>
    <row r="221" spans="1:6" ht="170.25" customHeight="1">
      <c r="A221" s="9"/>
      <c r="B221" s="57"/>
      <c r="C221" s="58" t="s">
        <v>225</v>
      </c>
      <c r="D221" s="12">
        <f>4369167+27805+1720+31818</f>
        <v>4430510</v>
      </c>
      <c r="E221" s="104">
        <f>3786661+31560.46+20329.15+1720</f>
        <v>3840270.61</v>
      </c>
      <c r="F221" s="14">
        <f t="shared" si="2"/>
        <v>0.8667784543991549</v>
      </c>
    </row>
    <row r="222" spans="1:6" ht="12.75">
      <c r="A222" s="9"/>
      <c r="B222" s="34">
        <v>85212</v>
      </c>
      <c r="C222" s="58" t="s">
        <v>62</v>
      </c>
      <c r="D222" s="12">
        <f>SUM(D220:D221)</f>
        <v>4546032</v>
      </c>
      <c r="E222" s="104">
        <f>SUM(E220:E221)</f>
        <v>3944644.46</v>
      </c>
      <c r="F222" s="14">
        <f t="shared" si="2"/>
        <v>0.8677115471250533</v>
      </c>
    </row>
    <row r="223" spans="1:6" ht="24" customHeight="1">
      <c r="A223" s="9"/>
      <c r="B223" s="76">
        <v>85213</v>
      </c>
      <c r="C223" s="83" t="s">
        <v>9</v>
      </c>
      <c r="D223" s="12"/>
      <c r="E223" s="104"/>
      <c r="F223" s="14"/>
    </row>
    <row r="224" spans="1:6" ht="12.75">
      <c r="A224" s="33"/>
      <c r="B224" s="28"/>
      <c r="C224" s="58" t="s">
        <v>109</v>
      </c>
      <c r="D224" s="12">
        <f>3500+7500</f>
        <v>11000</v>
      </c>
      <c r="E224" s="104">
        <f>2875.99+5012.7</f>
        <v>7888.69</v>
      </c>
      <c r="F224" s="14">
        <f t="shared" si="2"/>
        <v>0.7171536363636364</v>
      </c>
    </row>
    <row r="225" spans="1:6" ht="12.75" customHeight="1">
      <c r="A225" s="9"/>
      <c r="B225" s="39">
        <v>85213</v>
      </c>
      <c r="C225" s="70" t="s">
        <v>62</v>
      </c>
      <c r="D225" s="12">
        <f>SUM(D224)</f>
        <v>11000</v>
      </c>
      <c r="E225" s="104">
        <f>SUM(E224)</f>
        <v>7888.69</v>
      </c>
      <c r="F225" s="14">
        <f t="shared" si="2"/>
        <v>0.7171536363636364</v>
      </c>
    </row>
    <row r="226" spans="1:6" ht="15.75" customHeight="1">
      <c r="A226" s="9" t="s">
        <v>44</v>
      </c>
      <c r="B226" s="25">
        <v>85214</v>
      </c>
      <c r="C226" s="26" t="s">
        <v>150</v>
      </c>
      <c r="D226" s="12"/>
      <c r="E226" s="104"/>
      <c r="F226" s="14"/>
    </row>
    <row r="227" spans="1:6" ht="45.75" customHeight="1">
      <c r="A227" s="33"/>
      <c r="B227" s="25"/>
      <c r="C227" s="40" t="s">
        <v>235</v>
      </c>
      <c r="D227" s="12">
        <v>591953</v>
      </c>
      <c r="E227" s="104">
        <v>583952.94</v>
      </c>
      <c r="F227" s="14">
        <f t="shared" si="2"/>
        <v>0.9864853121785006</v>
      </c>
    </row>
    <row r="228" spans="1:6" ht="12.75">
      <c r="A228" s="33"/>
      <c r="B228" s="39">
        <v>85214</v>
      </c>
      <c r="C228" s="40" t="s">
        <v>62</v>
      </c>
      <c r="D228" s="12">
        <f>SUM(D227:D227)</f>
        <v>591953</v>
      </c>
      <c r="E228" s="104">
        <f>SUM(E227:E227)</f>
        <v>583952.94</v>
      </c>
      <c r="F228" s="14">
        <f t="shared" si="2"/>
        <v>0.9864853121785006</v>
      </c>
    </row>
    <row r="229" spans="1:6" ht="12.75" customHeight="1">
      <c r="A229" s="9"/>
      <c r="B229" s="25">
        <v>85215</v>
      </c>
      <c r="C229" s="26" t="s">
        <v>97</v>
      </c>
      <c r="D229" s="12"/>
      <c r="E229" s="104"/>
      <c r="F229" s="14"/>
    </row>
    <row r="230" spans="1:6" ht="83.25" customHeight="1">
      <c r="A230" s="9"/>
      <c r="B230" s="25"/>
      <c r="C230" s="17" t="s">
        <v>230</v>
      </c>
      <c r="D230" s="12">
        <v>623369</v>
      </c>
      <c r="E230" s="104">
        <v>622938.78</v>
      </c>
      <c r="F230" s="14">
        <f t="shared" si="2"/>
        <v>0.9993098469766704</v>
      </c>
    </row>
    <row r="231" spans="1:6" ht="12.75">
      <c r="A231" s="33"/>
      <c r="B231" s="39">
        <v>85215</v>
      </c>
      <c r="C231" s="40" t="s">
        <v>62</v>
      </c>
      <c r="D231" s="12">
        <f>SUM(D230)</f>
        <v>623369</v>
      </c>
      <c r="E231" s="104">
        <f>SUM(E230)</f>
        <v>622938.78</v>
      </c>
      <c r="F231" s="14">
        <f t="shared" si="2"/>
        <v>0.9993098469766704</v>
      </c>
    </row>
    <row r="232" spans="1:6" ht="12.75">
      <c r="A232" s="33"/>
      <c r="B232" s="25">
        <v>85219</v>
      </c>
      <c r="C232" s="26" t="s">
        <v>36</v>
      </c>
      <c r="D232" s="12"/>
      <c r="E232" s="104"/>
      <c r="F232" s="14"/>
    </row>
    <row r="233" spans="1:6" ht="12.75">
      <c r="A233" s="33"/>
      <c r="B233" s="25"/>
      <c r="C233" s="17" t="s">
        <v>74</v>
      </c>
      <c r="D233" s="12"/>
      <c r="E233" s="104"/>
      <c r="F233" s="14"/>
    </row>
    <row r="234" spans="1:6" ht="12.75">
      <c r="A234" s="33"/>
      <c r="B234" s="25"/>
      <c r="C234" s="42" t="s">
        <v>110</v>
      </c>
      <c r="D234" s="12">
        <v>385705</v>
      </c>
      <c r="E234" s="104">
        <v>385704.66</v>
      </c>
      <c r="F234" s="14">
        <f t="shared" si="2"/>
        <v>0.9999991184972971</v>
      </c>
    </row>
    <row r="235" spans="1:6" ht="82.5" customHeight="1">
      <c r="A235" s="33"/>
      <c r="B235" s="25"/>
      <c r="C235" s="43" t="s">
        <v>233</v>
      </c>
      <c r="D235" s="12">
        <v>79821</v>
      </c>
      <c r="E235" s="104">
        <v>79632.97</v>
      </c>
      <c r="F235" s="14">
        <f t="shared" si="2"/>
        <v>0.9976443542426179</v>
      </c>
    </row>
    <row r="236" spans="1:6" ht="12.75">
      <c r="A236" s="9"/>
      <c r="B236" s="77">
        <v>85219</v>
      </c>
      <c r="C236" s="43" t="s">
        <v>62</v>
      </c>
      <c r="D236" s="12">
        <f>SUM(D234:D235)</f>
        <v>465526</v>
      </c>
      <c r="E236" s="104">
        <f>SUM(E234:E235)</f>
        <v>465337.63</v>
      </c>
      <c r="F236" s="14">
        <f t="shared" si="2"/>
        <v>0.9995953609465422</v>
      </c>
    </row>
    <row r="237" spans="1:6" ht="12.75" customHeight="1">
      <c r="A237" s="33"/>
      <c r="B237" s="25">
        <v>85228</v>
      </c>
      <c r="C237" s="64" t="s">
        <v>45</v>
      </c>
      <c r="D237" s="45"/>
      <c r="E237" s="101"/>
      <c r="F237" s="46"/>
    </row>
    <row r="238" spans="1:6" ht="12.75">
      <c r="A238" s="33"/>
      <c r="B238" s="25"/>
      <c r="C238" s="17" t="s">
        <v>95</v>
      </c>
      <c r="D238" s="12"/>
      <c r="E238" s="104"/>
      <c r="F238" s="14"/>
    </row>
    <row r="239" spans="1:6" ht="12.75">
      <c r="A239" s="33"/>
      <c r="B239" s="28"/>
      <c r="C239" s="42" t="s">
        <v>64</v>
      </c>
      <c r="D239" s="12">
        <v>166175</v>
      </c>
      <c r="E239" s="104">
        <v>166174.01</v>
      </c>
      <c r="F239" s="14">
        <f t="shared" si="2"/>
        <v>0.9999940424251542</v>
      </c>
    </row>
    <row r="240" spans="1:6" ht="39.75" customHeight="1">
      <c r="A240" s="33"/>
      <c r="B240" s="25"/>
      <c r="C240" s="43" t="s">
        <v>139</v>
      </c>
      <c r="D240" s="12">
        <v>5809</v>
      </c>
      <c r="E240" s="104">
        <v>5808.46</v>
      </c>
      <c r="F240" s="14">
        <f t="shared" si="2"/>
        <v>0.9999070407987606</v>
      </c>
    </row>
    <row r="241" spans="1:6" ht="12" customHeight="1">
      <c r="A241" s="33"/>
      <c r="B241" s="78">
        <v>85228</v>
      </c>
      <c r="C241" s="63" t="s">
        <v>62</v>
      </c>
      <c r="D241" s="27">
        <f>SUM(D239:D240)</f>
        <v>171984</v>
      </c>
      <c r="E241" s="105">
        <f>SUM(E239:E240)</f>
        <v>171982.47</v>
      </c>
      <c r="F241" s="79">
        <f t="shared" si="2"/>
        <v>0.9999911038236116</v>
      </c>
    </row>
    <row r="242" spans="1:6" ht="12" customHeight="1">
      <c r="A242" s="33"/>
      <c r="B242" s="92">
        <v>85278</v>
      </c>
      <c r="C242" s="98" t="s">
        <v>151</v>
      </c>
      <c r="D242" s="27"/>
      <c r="E242" s="105"/>
      <c r="F242" s="79"/>
    </row>
    <row r="243" spans="1:6" ht="12" customHeight="1">
      <c r="A243" s="33"/>
      <c r="B243" s="92"/>
      <c r="C243" s="63" t="s">
        <v>25</v>
      </c>
      <c r="D243" s="27">
        <v>14000</v>
      </c>
      <c r="E243" s="105">
        <v>13000</v>
      </c>
      <c r="F243" s="79">
        <f t="shared" si="2"/>
        <v>0.9285714285714286</v>
      </c>
    </row>
    <row r="244" spans="1:6" ht="12" customHeight="1">
      <c r="A244" s="33"/>
      <c r="B244" s="78">
        <v>85278</v>
      </c>
      <c r="C244" s="63" t="s">
        <v>62</v>
      </c>
      <c r="D244" s="27">
        <f>SUM(D243)</f>
        <v>14000</v>
      </c>
      <c r="E244" s="105">
        <f>SUM(E243)</f>
        <v>13000</v>
      </c>
      <c r="F244" s="79">
        <f t="shared" si="2"/>
        <v>0.9285714285714286</v>
      </c>
    </row>
    <row r="245" spans="1:6" ht="13.5" customHeight="1">
      <c r="A245" s="33"/>
      <c r="B245" s="25">
        <v>85295</v>
      </c>
      <c r="C245" s="64" t="s">
        <v>23</v>
      </c>
      <c r="D245" s="12"/>
      <c r="E245" s="104"/>
      <c r="F245" s="14"/>
    </row>
    <row r="246" spans="1:6" ht="12.75">
      <c r="A246" s="33"/>
      <c r="B246" s="25"/>
      <c r="C246" s="43" t="s">
        <v>135</v>
      </c>
      <c r="D246" s="12"/>
      <c r="E246" s="104"/>
      <c r="F246" s="14"/>
    </row>
    <row r="247" spans="1:6" ht="12.75">
      <c r="A247" s="33"/>
      <c r="B247" s="25"/>
      <c r="C247" s="43" t="s">
        <v>88</v>
      </c>
      <c r="D247" s="12">
        <f>38243+2000+6900+1000</f>
        <v>48143</v>
      </c>
      <c r="E247" s="104">
        <f>38031.93+1932.43+6746+979.21</f>
        <v>47689.57</v>
      </c>
      <c r="F247" s="14">
        <f t="shared" si="2"/>
        <v>0.9905816006480693</v>
      </c>
    </row>
    <row r="248" spans="1:6" ht="24.75" customHeight="1">
      <c r="A248" s="33"/>
      <c r="B248" s="25"/>
      <c r="C248" s="43" t="s">
        <v>231</v>
      </c>
      <c r="D248" s="12">
        <f>7630+470+3057</f>
        <v>11157</v>
      </c>
      <c r="E248" s="104">
        <f>7147.83+470+3057</f>
        <v>10674.83</v>
      </c>
      <c r="F248" s="14">
        <f t="shared" si="2"/>
        <v>0.9567831854441158</v>
      </c>
    </row>
    <row r="249" spans="1:6" ht="12.75">
      <c r="A249" s="33"/>
      <c r="B249" s="25"/>
      <c r="C249" s="43" t="s">
        <v>4</v>
      </c>
      <c r="D249" s="12">
        <f>133290+97735</f>
        <v>231025</v>
      </c>
      <c r="E249" s="104">
        <f>133289.29+97734.1</f>
        <v>231023.39</v>
      </c>
      <c r="F249" s="14">
        <f t="shared" si="2"/>
        <v>0.9999930310572449</v>
      </c>
    </row>
    <row r="250" spans="1:6" ht="12.75">
      <c r="A250" s="33"/>
      <c r="B250" s="25"/>
      <c r="C250" s="43" t="s">
        <v>5</v>
      </c>
      <c r="D250" s="12">
        <v>57600</v>
      </c>
      <c r="E250" s="104">
        <v>48846</v>
      </c>
      <c r="F250" s="14">
        <f t="shared" si="2"/>
        <v>0.8480208333333333</v>
      </c>
    </row>
    <row r="251" spans="1:6" ht="50.25" customHeight="1">
      <c r="A251" s="33"/>
      <c r="B251" s="25"/>
      <c r="C251" s="80" t="s">
        <v>234</v>
      </c>
      <c r="D251" s="29">
        <v>249408</v>
      </c>
      <c r="E251" s="108">
        <v>249407.65</v>
      </c>
      <c r="F251" s="14">
        <f t="shared" si="2"/>
        <v>0.9999985966769309</v>
      </c>
    </row>
    <row r="252" spans="1:6" ht="12.75">
      <c r="A252" s="33"/>
      <c r="B252" s="25">
        <v>85295</v>
      </c>
      <c r="C252" s="80" t="s">
        <v>62</v>
      </c>
      <c r="D252" s="27">
        <f>SUM(D247:D251)</f>
        <v>597333</v>
      </c>
      <c r="E252" s="105">
        <f>SUM(E247:E251)</f>
        <v>587641.4400000001</v>
      </c>
      <c r="F252" s="14">
        <f t="shared" si="2"/>
        <v>0.9837752811245989</v>
      </c>
    </row>
    <row r="253" spans="1:6" ht="15.75" customHeight="1">
      <c r="A253" s="81">
        <v>852</v>
      </c>
      <c r="B253" s="19"/>
      <c r="C253" s="37" t="s">
        <v>81</v>
      </c>
      <c r="D253" s="18">
        <f>SUM(D252,D244,D241,D236,D231,D228,D225,D222)</f>
        <v>7021197</v>
      </c>
      <c r="E253" s="93">
        <f>SUM(E252,E244,E241,E236,E231,E228,E225,E222)</f>
        <v>6397386.41</v>
      </c>
      <c r="F253" s="14">
        <f t="shared" si="2"/>
        <v>0.9111532421038749</v>
      </c>
    </row>
    <row r="254" spans="1:6" ht="17.25" customHeight="1">
      <c r="A254" s="33">
        <v>854</v>
      </c>
      <c r="B254" s="82"/>
      <c r="C254" s="31" t="s">
        <v>11</v>
      </c>
      <c r="D254" s="32"/>
      <c r="E254" s="109"/>
      <c r="F254" s="46"/>
    </row>
    <row r="255" spans="1:6" ht="12.75">
      <c r="A255" s="24" t="s">
        <v>44</v>
      </c>
      <c r="B255" s="25">
        <v>85401</v>
      </c>
      <c r="C255" s="26" t="s">
        <v>37</v>
      </c>
      <c r="D255" s="12"/>
      <c r="E255" s="104"/>
      <c r="F255" s="14"/>
    </row>
    <row r="256" spans="1:6" ht="12.75">
      <c r="A256" s="9"/>
      <c r="B256" s="25"/>
      <c r="C256" s="17" t="s">
        <v>74</v>
      </c>
      <c r="D256" s="12"/>
      <c r="E256" s="104"/>
      <c r="F256" s="14"/>
    </row>
    <row r="257" spans="1:6" ht="12.75">
      <c r="A257" s="9"/>
      <c r="B257" s="25"/>
      <c r="C257" s="17" t="s">
        <v>64</v>
      </c>
      <c r="D257" s="12">
        <f>67545+136510+110685+71100+3990</f>
        <v>389830</v>
      </c>
      <c r="E257" s="104">
        <f>67365.93+135949.38+110683.46+70492.01+3960.75</f>
        <v>388451.53</v>
      </c>
      <c r="F257" s="14">
        <f t="shared" si="2"/>
        <v>0.9964639201703307</v>
      </c>
    </row>
    <row r="258" spans="1:6" ht="12.75">
      <c r="A258" s="9"/>
      <c r="B258" s="25"/>
      <c r="C258" s="59" t="s">
        <v>63</v>
      </c>
      <c r="D258" s="12">
        <f>15195+24740+19823+15537+8916</f>
        <v>84211</v>
      </c>
      <c r="E258" s="104">
        <f>14907.93+24723.95+19815.18+15519.69+3027.86-2</f>
        <v>77992.61</v>
      </c>
      <c r="F258" s="14">
        <f t="shared" si="2"/>
        <v>0.9261570341166832</v>
      </c>
    </row>
    <row r="259" spans="1:6" ht="12.75">
      <c r="A259" s="33"/>
      <c r="B259" s="39">
        <v>85401</v>
      </c>
      <c r="C259" s="63" t="s">
        <v>62</v>
      </c>
      <c r="D259" s="12">
        <f>SUM(D257:D258)</f>
        <v>474041</v>
      </c>
      <c r="E259" s="104">
        <f>SUM(E257:E258)</f>
        <v>466444.14</v>
      </c>
      <c r="F259" s="14">
        <f t="shared" si="2"/>
        <v>0.9839742553914114</v>
      </c>
    </row>
    <row r="260" spans="1:6" ht="12.75">
      <c r="A260" s="9"/>
      <c r="B260" s="25">
        <v>85415</v>
      </c>
      <c r="C260" s="98" t="s">
        <v>100</v>
      </c>
      <c r="D260" s="12"/>
      <c r="E260" s="104"/>
      <c r="F260" s="14"/>
    </row>
    <row r="261" spans="1:6" ht="60" customHeight="1">
      <c r="A261" s="9"/>
      <c r="B261" s="25"/>
      <c r="C261" s="63" t="s">
        <v>224</v>
      </c>
      <c r="D261" s="12">
        <f>400+800+600+400+200+200+200+2200+195387</f>
        <v>200387</v>
      </c>
      <c r="E261" s="104">
        <f>400+800+600+400+200+2200+195380.6</f>
        <v>199980.6</v>
      </c>
      <c r="F261" s="14">
        <f>E261/D261</f>
        <v>0.9979719243264283</v>
      </c>
    </row>
    <row r="262" spans="1:6" ht="12.75">
      <c r="A262" s="9"/>
      <c r="B262" s="25">
        <v>85415</v>
      </c>
      <c r="C262" s="63" t="s">
        <v>62</v>
      </c>
      <c r="D262" s="12">
        <f>SUM(D261:D261)</f>
        <v>200387</v>
      </c>
      <c r="E262" s="104">
        <f>SUM(E261:E261)</f>
        <v>199980.6</v>
      </c>
      <c r="F262" s="14">
        <f>E262/D262</f>
        <v>0.9979719243264283</v>
      </c>
    </row>
    <row r="263" spans="1:6" ht="12.75">
      <c r="A263" s="18">
        <v>854</v>
      </c>
      <c r="B263" s="19"/>
      <c r="C263" s="37" t="s">
        <v>81</v>
      </c>
      <c r="D263" s="18">
        <f>SUM(D262,D259)</f>
        <v>674428</v>
      </c>
      <c r="E263" s="93">
        <f>SUM(E262,E259)</f>
        <v>666424.74</v>
      </c>
      <c r="F263" s="14">
        <f>E263/D263</f>
        <v>0.9881332625573078</v>
      </c>
    </row>
    <row r="264" spans="1:6" ht="15.75" customHeight="1">
      <c r="A264" s="55">
        <v>900</v>
      </c>
      <c r="B264" s="22"/>
      <c r="C264" s="23" t="s">
        <v>52</v>
      </c>
      <c r="D264" s="18"/>
      <c r="E264" s="93"/>
      <c r="F264" s="14"/>
    </row>
    <row r="265" spans="1:6" ht="12.75">
      <c r="A265" s="33"/>
      <c r="B265" s="47">
        <v>90001</v>
      </c>
      <c r="C265" s="83" t="s">
        <v>149</v>
      </c>
      <c r="D265" s="18"/>
      <c r="E265" s="93"/>
      <c r="F265" s="14"/>
    </row>
    <row r="266" spans="1:6" ht="48.75" customHeight="1">
      <c r="A266" s="33"/>
      <c r="B266" s="51"/>
      <c r="C266" s="70" t="s">
        <v>6</v>
      </c>
      <c r="D266" s="12">
        <v>6000</v>
      </c>
      <c r="E266" s="104">
        <v>2788</v>
      </c>
      <c r="F266" s="14">
        <f>E266/D266</f>
        <v>0.4646666666666667</v>
      </c>
    </row>
    <row r="267" spans="1:6" ht="12.75">
      <c r="A267" s="33"/>
      <c r="B267" s="39">
        <v>90001</v>
      </c>
      <c r="C267" s="70" t="s">
        <v>62</v>
      </c>
      <c r="D267" s="12">
        <f>SUM(D266)</f>
        <v>6000</v>
      </c>
      <c r="E267" s="104">
        <f>SUM(E266)</f>
        <v>2788</v>
      </c>
      <c r="F267" s="14">
        <f>E267/D267</f>
        <v>0.4646666666666667</v>
      </c>
    </row>
    <row r="268" spans="1:6" ht="12.75">
      <c r="A268" s="33"/>
      <c r="B268" s="47">
        <v>90002</v>
      </c>
      <c r="C268" s="83" t="s">
        <v>115</v>
      </c>
      <c r="D268" s="12"/>
      <c r="E268" s="104"/>
      <c r="F268" s="14"/>
    </row>
    <row r="269" spans="1:13" ht="12.75">
      <c r="A269" s="33"/>
      <c r="B269" s="25"/>
      <c r="C269" s="70" t="s">
        <v>177</v>
      </c>
      <c r="D269" s="12">
        <v>12000</v>
      </c>
      <c r="E269" s="104">
        <v>12000</v>
      </c>
      <c r="F269" s="14">
        <f>E269/D269</f>
        <v>1</v>
      </c>
      <c r="M269" s="102"/>
    </row>
    <row r="270" spans="1:13" ht="48">
      <c r="A270" s="33"/>
      <c r="B270" s="25"/>
      <c r="C270" s="70" t="s">
        <v>7</v>
      </c>
      <c r="D270" s="12">
        <v>30000</v>
      </c>
      <c r="E270" s="104">
        <v>29890</v>
      </c>
      <c r="F270" s="14">
        <f>E270/D270</f>
        <v>0.9963333333333333</v>
      </c>
      <c r="M270" s="102"/>
    </row>
    <row r="271" spans="1:13" ht="12.75">
      <c r="A271" s="33"/>
      <c r="B271" s="39">
        <v>90002</v>
      </c>
      <c r="C271" s="70" t="s">
        <v>62</v>
      </c>
      <c r="D271" s="12">
        <f>SUM(D269:D270)</f>
        <v>42000</v>
      </c>
      <c r="E271" s="104">
        <f>SUM(E269:E270)</f>
        <v>41890</v>
      </c>
      <c r="F271" s="14">
        <f>E271/D271</f>
        <v>0.9973809523809524</v>
      </c>
      <c r="M271" s="102"/>
    </row>
    <row r="272" spans="1:6" ht="15" customHeight="1">
      <c r="A272" s="9"/>
      <c r="B272" s="25">
        <v>90003</v>
      </c>
      <c r="C272" s="26" t="s">
        <v>38</v>
      </c>
      <c r="D272" s="12"/>
      <c r="E272" s="104"/>
      <c r="F272" s="14"/>
    </row>
    <row r="273" spans="1:13" ht="36" customHeight="1">
      <c r="A273" s="33"/>
      <c r="B273" s="25"/>
      <c r="C273" s="90" t="s">
        <v>238</v>
      </c>
      <c r="D273" s="84">
        <v>134725</v>
      </c>
      <c r="E273" s="111">
        <v>134547.41</v>
      </c>
      <c r="F273" s="46">
        <f>E273/D273</f>
        <v>0.9986818333642605</v>
      </c>
      <c r="M273" s="102"/>
    </row>
    <row r="274" spans="1:13" ht="12.75">
      <c r="A274" s="9"/>
      <c r="B274" s="25">
        <v>90003</v>
      </c>
      <c r="C274" s="17" t="s">
        <v>62</v>
      </c>
      <c r="D274" s="27">
        <f>SUM(D273:D273)</f>
        <v>134725</v>
      </c>
      <c r="E274" s="105">
        <f>SUM(E273:E273)</f>
        <v>134547.41</v>
      </c>
      <c r="F274" s="14">
        <f>E274/D274</f>
        <v>0.9986818333642605</v>
      </c>
      <c r="M274" s="102"/>
    </row>
    <row r="275" spans="1:6" ht="12.75" customHeight="1">
      <c r="A275" s="9"/>
      <c r="B275" s="47">
        <v>90004</v>
      </c>
      <c r="C275" s="26" t="s">
        <v>39</v>
      </c>
      <c r="D275" s="12"/>
      <c r="E275" s="104"/>
      <c r="F275" s="14"/>
    </row>
    <row r="276" spans="1:13" ht="36" customHeight="1">
      <c r="A276" s="9"/>
      <c r="B276" s="25"/>
      <c r="C276" s="17" t="s">
        <v>12</v>
      </c>
      <c r="D276" s="12">
        <v>50000</v>
      </c>
      <c r="E276" s="104">
        <v>50000</v>
      </c>
      <c r="F276" s="14">
        <f>E276/D276</f>
        <v>1</v>
      </c>
      <c r="M276" s="102"/>
    </row>
    <row r="277" spans="1:13" ht="12.75">
      <c r="A277" s="33"/>
      <c r="B277" s="39">
        <v>90004</v>
      </c>
      <c r="C277" s="40" t="s">
        <v>62</v>
      </c>
      <c r="D277" s="12">
        <f>SUM(D276)</f>
        <v>50000</v>
      </c>
      <c r="E277" s="104">
        <f>SUM(E276)</f>
        <v>50000</v>
      </c>
      <c r="F277" s="14">
        <f>E277/D277</f>
        <v>1</v>
      </c>
      <c r="M277" s="102"/>
    </row>
    <row r="278" spans="1:6" ht="12.75">
      <c r="A278" s="9"/>
      <c r="B278" s="25">
        <v>90015</v>
      </c>
      <c r="C278" s="26" t="s">
        <v>40</v>
      </c>
      <c r="D278" s="12"/>
      <c r="E278" s="104"/>
      <c r="F278" s="14"/>
    </row>
    <row r="279" spans="1:13" ht="13.5" customHeight="1">
      <c r="A279" s="9"/>
      <c r="B279" s="25"/>
      <c r="C279" s="17" t="s">
        <v>123</v>
      </c>
      <c r="D279" s="12"/>
      <c r="E279" s="104"/>
      <c r="F279" s="14"/>
      <c r="M279" s="102"/>
    </row>
    <row r="280" spans="1:6" ht="13.5" customHeight="1">
      <c r="A280" s="9"/>
      <c r="B280" s="25"/>
      <c r="C280" s="17" t="s">
        <v>116</v>
      </c>
      <c r="D280" s="12">
        <v>2500</v>
      </c>
      <c r="E280" s="104">
        <v>2500</v>
      </c>
      <c r="F280" s="14">
        <f>E280/D280</f>
        <v>1</v>
      </c>
    </row>
    <row r="281" spans="1:13" ht="13.5" customHeight="1">
      <c r="A281" s="9"/>
      <c r="B281" s="25"/>
      <c r="C281" s="17" t="s">
        <v>13</v>
      </c>
      <c r="D281" s="12">
        <f>346500-180000-2500</f>
        <v>164000</v>
      </c>
      <c r="E281" s="104">
        <f>335264.43-176360.09-2500</f>
        <v>156404.34</v>
      </c>
      <c r="F281" s="14">
        <f>E281/D281</f>
        <v>0.953685</v>
      </c>
      <c r="M281" s="102"/>
    </row>
    <row r="282" spans="1:6" ht="15" customHeight="1">
      <c r="A282" s="9"/>
      <c r="B282" s="25"/>
      <c r="C282" s="17" t="s">
        <v>124</v>
      </c>
      <c r="D282" s="12"/>
      <c r="E282" s="104"/>
      <c r="F282" s="14"/>
    </row>
    <row r="283" spans="1:13" ht="25.5" customHeight="1">
      <c r="A283" s="9"/>
      <c r="B283" s="25"/>
      <c r="C283" s="17" t="s">
        <v>161</v>
      </c>
      <c r="D283" s="12">
        <v>50000</v>
      </c>
      <c r="E283" s="104">
        <v>47225.29</v>
      </c>
      <c r="F283" s="14">
        <f>E283/D283</f>
        <v>0.9445058000000001</v>
      </c>
      <c r="M283" s="102"/>
    </row>
    <row r="284" spans="1:13" ht="15.75" customHeight="1">
      <c r="A284" s="9"/>
      <c r="B284" s="39"/>
      <c r="C284" s="17" t="s">
        <v>162</v>
      </c>
      <c r="D284" s="12">
        <v>130000</v>
      </c>
      <c r="E284" s="104">
        <v>129134.8</v>
      </c>
      <c r="F284" s="14">
        <f>E284/D284</f>
        <v>0.9933446153846154</v>
      </c>
      <c r="M284" s="102"/>
    </row>
    <row r="285" spans="1:6" ht="12.75">
      <c r="A285" s="9"/>
      <c r="B285" s="71">
        <v>90015</v>
      </c>
      <c r="C285" s="17" t="s">
        <v>62</v>
      </c>
      <c r="D285" s="12">
        <f>SUM(D279:D284)</f>
        <v>346500</v>
      </c>
      <c r="E285" s="104">
        <f>SUM(E279:E284)</f>
        <v>335264.43</v>
      </c>
      <c r="F285" s="14">
        <f>E285/D285</f>
        <v>0.9675741125541125</v>
      </c>
    </row>
    <row r="286" spans="1:13" ht="24" customHeight="1">
      <c r="A286" s="33"/>
      <c r="B286" s="25">
        <v>90019</v>
      </c>
      <c r="C286" s="53" t="s">
        <v>178</v>
      </c>
      <c r="D286" s="12"/>
      <c r="E286" s="104"/>
      <c r="F286" s="14"/>
      <c r="J286" s="103"/>
      <c r="M286" s="102"/>
    </row>
    <row r="287" spans="1:6" ht="49.5" customHeight="1">
      <c r="A287" s="33"/>
      <c r="B287" s="25"/>
      <c r="C287" s="40" t="s">
        <v>239</v>
      </c>
      <c r="D287" s="12">
        <v>40000</v>
      </c>
      <c r="E287" s="104">
        <v>35149.67</v>
      </c>
      <c r="F287" s="14">
        <f>E287/D287</f>
        <v>0.87874175</v>
      </c>
    </row>
    <row r="288" spans="1:6" ht="12.75">
      <c r="A288" s="33"/>
      <c r="B288" s="39">
        <v>90019</v>
      </c>
      <c r="C288" s="40" t="s">
        <v>62</v>
      </c>
      <c r="D288" s="12">
        <f>SUM(D287)</f>
        <v>40000</v>
      </c>
      <c r="E288" s="104">
        <f>SUM(E287)</f>
        <v>35149.67</v>
      </c>
      <c r="F288" s="14">
        <f>E288/D288</f>
        <v>0.87874175</v>
      </c>
    </row>
    <row r="289" spans="1:6" ht="12.75">
      <c r="A289" s="33"/>
      <c r="B289" s="25">
        <v>90095</v>
      </c>
      <c r="C289" s="53" t="s">
        <v>23</v>
      </c>
      <c r="D289" s="12"/>
      <c r="E289" s="104"/>
      <c r="F289" s="14"/>
    </row>
    <row r="290" spans="1:6" ht="12.75">
      <c r="A290" s="33"/>
      <c r="B290" s="25"/>
      <c r="C290" s="60" t="s">
        <v>126</v>
      </c>
      <c r="D290" s="27"/>
      <c r="E290" s="105"/>
      <c r="F290" s="14"/>
    </row>
    <row r="291" spans="1:6" ht="12.75">
      <c r="A291" s="33"/>
      <c r="B291" s="28"/>
      <c r="C291" s="59" t="s">
        <v>157</v>
      </c>
      <c r="D291" s="27">
        <v>516</v>
      </c>
      <c r="E291" s="105">
        <v>514.85</v>
      </c>
      <c r="F291" s="14">
        <f aca="true" t="shared" si="3" ref="F291:F303">E291/D291</f>
        <v>0.9977713178294574</v>
      </c>
    </row>
    <row r="292" spans="1:6" ht="12.75">
      <c r="A292" s="33"/>
      <c r="B292" s="28"/>
      <c r="C292" s="59" t="s">
        <v>179</v>
      </c>
      <c r="D292" s="27">
        <v>12126</v>
      </c>
      <c r="E292" s="105">
        <v>11948.26</v>
      </c>
      <c r="F292" s="14">
        <f t="shared" si="3"/>
        <v>0.985342239815273</v>
      </c>
    </row>
    <row r="293" spans="1:6" ht="120.75" customHeight="1">
      <c r="A293" s="33"/>
      <c r="B293" s="28"/>
      <c r="C293" s="59" t="s">
        <v>240</v>
      </c>
      <c r="D293" s="29">
        <f>139742-516-12126</f>
        <v>127100</v>
      </c>
      <c r="E293" s="108">
        <f>144633.23-19270-514.85-11948.26</f>
        <v>112900.12000000001</v>
      </c>
      <c r="F293" s="14">
        <f t="shared" si="3"/>
        <v>0.8882778914240756</v>
      </c>
    </row>
    <row r="294" spans="1:6" ht="13.5" customHeight="1">
      <c r="A294" s="33"/>
      <c r="B294" s="28"/>
      <c r="C294" s="59" t="s">
        <v>129</v>
      </c>
      <c r="D294" s="29"/>
      <c r="E294" s="108"/>
      <c r="F294" s="14"/>
    </row>
    <row r="295" spans="1:6" ht="24.75" customHeight="1">
      <c r="A295" s="33"/>
      <c r="B295" s="28"/>
      <c r="C295" s="59" t="s">
        <v>180</v>
      </c>
      <c r="D295" s="29">
        <v>5000</v>
      </c>
      <c r="E295" s="108">
        <v>4270</v>
      </c>
      <c r="F295" s="14">
        <f t="shared" si="3"/>
        <v>0.854</v>
      </c>
    </row>
    <row r="296" spans="1:6" ht="25.5" customHeight="1">
      <c r="A296" s="33"/>
      <c r="B296" s="28"/>
      <c r="C296" s="59" t="s">
        <v>176</v>
      </c>
      <c r="D296" s="29">
        <v>10000</v>
      </c>
      <c r="E296" s="108">
        <v>0</v>
      </c>
      <c r="F296" s="14">
        <f t="shared" si="3"/>
        <v>0</v>
      </c>
    </row>
    <row r="297" spans="1:6" ht="25.5" customHeight="1">
      <c r="A297" s="33"/>
      <c r="B297" s="28"/>
      <c r="C297" s="59" t="s">
        <v>1</v>
      </c>
      <c r="D297" s="29">
        <v>15000</v>
      </c>
      <c r="E297" s="108">
        <v>15000</v>
      </c>
      <c r="F297" s="14">
        <f t="shared" si="3"/>
        <v>1</v>
      </c>
    </row>
    <row r="298" spans="1:6" ht="12.75">
      <c r="A298" s="33"/>
      <c r="B298" s="39">
        <v>90095</v>
      </c>
      <c r="C298" s="40" t="s">
        <v>62</v>
      </c>
      <c r="D298" s="12">
        <f>SUM(D291:D297)</f>
        <v>169742</v>
      </c>
      <c r="E298" s="104">
        <f>SUM(E291:E297)</f>
        <v>144633.23</v>
      </c>
      <c r="F298" s="14">
        <f t="shared" si="3"/>
        <v>0.8520768578195144</v>
      </c>
    </row>
    <row r="299" spans="1:6" ht="15" customHeight="1">
      <c r="A299" s="32">
        <v>900</v>
      </c>
      <c r="B299" s="67"/>
      <c r="C299" s="68" t="s">
        <v>81</v>
      </c>
      <c r="D299" s="18">
        <f>SUM(D298,D288,D285,D277,D274,D271,D267)</f>
        <v>788967</v>
      </c>
      <c r="E299" s="93">
        <f>SUM(E298,E288,E285,E277,E274,E271,E267)</f>
        <v>744272.7400000001</v>
      </c>
      <c r="F299" s="14">
        <f t="shared" si="3"/>
        <v>0.9433509132828117</v>
      </c>
    </row>
    <row r="300" spans="1:6" ht="18" customHeight="1">
      <c r="A300" s="12">
        <v>921</v>
      </c>
      <c r="B300" s="66"/>
      <c r="C300" s="31" t="s">
        <v>55</v>
      </c>
      <c r="D300" s="32"/>
      <c r="E300" s="109"/>
      <c r="F300" s="14"/>
    </row>
    <row r="301" spans="1:6" ht="12.75">
      <c r="A301" s="9"/>
      <c r="B301" s="28">
        <v>92105</v>
      </c>
      <c r="C301" s="75" t="s">
        <v>90</v>
      </c>
      <c r="D301" s="32"/>
      <c r="E301" s="109"/>
      <c r="F301" s="14"/>
    </row>
    <row r="302" spans="1:6" ht="12.75">
      <c r="A302" s="9"/>
      <c r="B302" s="85"/>
      <c r="C302" s="86" t="s">
        <v>108</v>
      </c>
      <c r="D302" s="45">
        <v>5000</v>
      </c>
      <c r="E302" s="101">
        <v>5000</v>
      </c>
      <c r="F302" s="14">
        <f t="shared" si="3"/>
        <v>1</v>
      </c>
    </row>
    <row r="303" spans="1:6" ht="12.75">
      <c r="A303" s="9"/>
      <c r="B303" s="28">
        <v>92105</v>
      </c>
      <c r="C303" s="86" t="s">
        <v>62</v>
      </c>
      <c r="D303" s="45">
        <f>SUM(D302)</f>
        <v>5000</v>
      </c>
      <c r="E303" s="101">
        <f>SUM(E302)</f>
        <v>5000</v>
      </c>
      <c r="F303" s="14">
        <f t="shared" si="3"/>
        <v>1</v>
      </c>
    </row>
    <row r="304" spans="1:6" ht="12.75">
      <c r="A304" s="9"/>
      <c r="B304" s="87">
        <v>92109</v>
      </c>
      <c r="C304" s="26" t="s">
        <v>41</v>
      </c>
      <c r="D304" s="12"/>
      <c r="E304" s="104"/>
      <c r="F304" s="14"/>
    </row>
    <row r="305" spans="1:6" ht="12.75">
      <c r="A305" s="33"/>
      <c r="B305" s="28"/>
      <c r="C305" s="17" t="s">
        <v>120</v>
      </c>
      <c r="D305" s="12"/>
      <c r="E305" s="104"/>
      <c r="F305" s="14"/>
    </row>
    <row r="306" spans="1:6" ht="11.25" customHeight="1">
      <c r="A306" s="9"/>
      <c r="B306" s="25"/>
      <c r="C306" s="17" t="s">
        <v>98</v>
      </c>
      <c r="D306" s="29">
        <v>560100</v>
      </c>
      <c r="E306" s="108">
        <v>535100</v>
      </c>
      <c r="F306" s="14">
        <f>E306/D306</f>
        <v>0.955365113372612</v>
      </c>
    </row>
    <row r="307" spans="1:6" ht="144.75" customHeight="1">
      <c r="A307" s="33"/>
      <c r="B307" s="25"/>
      <c r="C307" s="40" t="s">
        <v>241</v>
      </c>
      <c r="D307" s="29"/>
      <c r="E307" s="108"/>
      <c r="F307" s="14"/>
    </row>
    <row r="308" spans="1:6" ht="14.25" customHeight="1">
      <c r="A308" s="33"/>
      <c r="B308" s="25"/>
      <c r="C308" s="40" t="s">
        <v>71</v>
      </c>
      <c r="D308" s="29">
        <v>21050</v>
      </c>
      <c r="E308" s="108">
        <v>21004.64</v>
      </c>
      <c r="F308" s="14">
        <f>E308/D308</f>
        <v>0.9978451306413302</v>
      </c>
    </row>
    <row r="309" spans="1:6" ht="15.75" customHeight="1">
      <c r="A309" s="33"/>
      <c r="B309" s="25"/>
      <c r="C309" s="40" t="s">
        <v>125</v>
      </c>
      <c r="D309" s="27"/>
      <c r="E309" s="105"/>
      <c r="F309" s="14"/>
    </row>
    <row r="310" spans="1:6" ht="36" customHeight="1">
      <c r="A310" s="33"/>
      <c r="B310" s="25"/>
      <c r="C310" s="40" t="s">
        <v>181</v>
      </c>
      <c r="D310" s="29">
        <v>297915</v>
      </c>
      <c r="E310" s="108">
        <f>29747.95+174997.86+91874.47</f>
        <v>296620.28</v>
      </c>
      <c r="F310" s="14">
        <f>E310/D310</f>
        <v>0.9956540624003491</v>
      </c>
    </row>
    <row r="311" spans="1:6" ht="39.75" customHeight="1">
      <c r="A311" s="33"/>
      <c r="B311" s="25"/>
      <c r="C311" s="40" t="s">
        <v>175</v>
      </c>
      <c r="D311" s="29">
        <v>15000</v>
      </c>
      <c r="E311" s="108">
        <v>11065.8</v>
      </c>
      <c r="F311" s="14">
        <f>E311/D311</f>
        <v>0.7377199999999999</v>
      </c>
    </row>
    <row r="312" spans="1:6" ht="13.5" customHeight="1">
      <c r="A312" s="9"/>
      <c r="B312" s="25">
        <v>92109</v>
      </c>
      <c r="C312" s="17" t="s">
        <v>62</v>
      </c>
      <c r="D312" s="27">
        <f>SUM(D306:D311)</f>
        <v>894065</v>
      </c>
      <c r="E312" s="105">
        <f>SUM(E306:E311)</f>
        <v>863790.7200000001</v>
      </c>
      <c r="F312" s="14">
        <f>E312/D312</f>
        <v>0.9661386140828688</v>
      </c>
    </row>
    <row r="313" spans="1:6" ht="12" customHeight="1">
      <c r="A313" s="9"/>
      <c r="B313" s="47">
        <v>92116</v>
      </c>
      <c r="C313" s="26" t="s">
        <v>42</v>
      </c>
      <c r="D313" s="12"/>
      <c r="E313" s="104"/>
      <c r="F313" s="14"/>
    </row>
    <row r="314" spans="1:6" ht="12.75">
      <c r="A314" s="9"/>
      <c r="B314" s="25"/>
      <c r="C314" s="17" t="s">
        <v>69</v>
      </c>
      <c r="D314" s="12"/>
      <c r="E314" s="104"/>
      <c r="F314" s="14"/>
    </row>
    <row r="315" spans="1:6" ht="36.75" customHeight="1">
      <c r="A315" s="9"/>
      <c r="B315" s="25"/>
      <c r="C315" s="17" t="s">
        <v>228</v>
      </c>
      <c r="D315" s="12">
        <v>170000</v>
      </c>
      <c r="E315" s="104">
        <v>170000</v>
      </c>
      <c r="F315" s="14">
        <f>E315/D315</f>
        <v>1</v>
      </c>
    </row>
    <row r="316" spans="1:6" ht="11.25" customHeight="1">
      <c r="A316" s="9"/>
      <c r="B316" s="39">
        <v>92116</v>
      </c>
      <c r="C316" s="17" t="s">
        <v>62</v>
      </c>
      <c r="D316" s="12">
        <f>SUM(D315)</f>
        <v>170000</v>
      </c>
      <c r="E316" s="104">
        <f>SUM(E315)</f>
        <v>170000</v>
      </c>
      <c r="F316" s="14">
        <f>E316/D316</f>
        <v>1</v>
      </c>
    </row>
    <row r="317" spans="1:6" ht="11.25" customHeight="1">
      <c r="A317" s="9"/>
      <c r="B317" s="25">
        <v>92120</v>
      </c>
      <c r="C317" s="26" t="s">
        <v>152</v>
      </c>
      <c r="D317" s="12"/>
      <c r="E317" s="104"/>
      <c r="F317" s="14"/>
    </row>
    <row r="318" spans="1:6" ht="11.25" customHeight="1">
      <c r="A318" s="9"/>
      <c r="B318" s="25"/>
      <c r="C318" s="17" t="s">
        <v>78</v>
      </c>
      <c r="D318" s="12"/>
      <c r="E318" s="104"/>
      <c r="F318" s="14"/>
    </row>
    <row r="319" spans="1:6" ht="36" customHeight="1">
      <c r="A319" s="9"/>
      <c r="B319" s="25"/>
      <c r="C319" s="17" t="s">
        <v>182</v>
      </c>
      <c r="D319" s="12">
        <v>8000</v>
      </c>
      <c r="E319" s="104">
        <v>8000</v>
      </c>
      <c r="F319" s="14">
        <f>E319/D319</f>
        <v>1</v>
      </c>
    </row>
    <row r="320" spans="1:6" ht="11.25" customHeight="1">
      <c r="A320" s="9"/>
      <c r="B320" s="25">
        <v>92120</v>
      </c>
      <c r="C320" s="17" t="s">
        <v>62</v>
      </c>
      <c r="D320" s="12">
        <f>SUM(D319)</f>
        <v>8000</v>
      </c>
      <c r="E320" s="104">
        <f>SUM(E319)</f>
        <v>8000</v>
      </c>
      <c r="F320" s="14">
        <f>E320/D320</f>
        <v>1</v>
      </c>
    </row>
    <row r="321" spans="1:6" ht="12.75">
      <c r="A321" s="9"/>
      <c r="B321" s="47">
        <v>92195</v>
      </c>
      <c r="C321" s="26" t="s">
        <v>23</v>
      </c>
      <c r="D321" s="12"/>
      <c r="E321" s="104"/>
      <c r="F321" s="14"/>
    </row>
    <row r="322" spans="1:6" ht="12.75">
      <c r="A322" s="9"/>
      <c r="B322" s="28"/>
      <c r="C322" s="17" t="s">
        <v>74</v>
      </c>
      <c r="D322" s="12"/>
      <c r="E322" s="104"/>
      <c r="F322" s="14"/>
    </row>
    <row r="323" spans="1:6" ht="12.75">
      <c r="A323" s="9"/>
      <c r="B323" s="28"/>
      <c r="C323" s="17" t="s">
        <v>153</v>
      </c>
      <c r="D323" s="12">
        <v>2943</v>
      </c>
      <c r="E323" s="104">
        <v>1473</v>
      </c>
      <c r="F323" s="14"/>
    </row>
    <row r="324" spans="1:6" ht="38.25" customHeight="1">
      <c r="A324" s="9"/>
      <c r="B324" s="28"/>
      <c r="C324" s="17" t="s">
        <v>227</v>
      </c>
      <c r="D324" s="29">
        <f>17726+26000-5069</f>
        <v>38657</v>
      </c>
      <c r="E324" s="108">
        <f>15733.94+25161.52-5068.99</f>
        <v>35826.47</v>
      </c>
      <c r="F324" s="14">
        <f>E324/D324</f>
        <v>0.9267783325141631</v>
      </c>
    </row>
    <row r="325" spans="1:6" ht="13.5" customHeight="1">
      <c r="A325" s="9"/>
      <c r="B325" s="28"/>
      <c r="C325" s="17" t="s">
        <v>86</v>
      </c>
      <c r="D325" s="29">
        <v>5069</v>
      </c>
      <c r="E325" s="108">
        <v>5068.99</v>
      </c>
      <c r="F325" s="14">
        <f>E325/D325</f>
        <v>0.9999980272243045</v>
      </c>
    </row>
    <row r="326" spans="1:6" ht="12.75">
      <c r="A326" s="9"/>
      <c r="B326" s="28">
        <v>92195</v>
      </c>
      <c r="C326" s="17" t="s">
        <v>62</v>
      </c>
      <c r="D326" s="27">
        <f>SUM(D323:D325)</f>
        <v>46669</v>
      </c>
      <c r="E326" s="105">
        <f>SUM(E323:E325)</f>
        <v>42368.46</v>
      </c>
      <c r="F326" s="14">
        <f>E326/D326</f>
        <v>0.9078501789196254</v>
      </c>
    </row>
    <row r="327" spans="1:6" ht="12.75">
      <c r="A327" s="18">
        <v>921</v>
      </c>
      <c r="B327" s="66"/>
      <c r="C327" s="37" t="s">
        <v>81</v>
      </c>
      <c r="D327" s="18">
        <f>SUM(D326,D316,D319,D312,D303)</f>
        <v>1123734</v>
      </c>
      <c r="E327" s="93">
        <f>SUM(E326,E316,E319,E312,E303)</f>
        <v>1089159.1800000002</v>
      </c>
      <c r="F327" s="14">
        <f>E327/D327</f>
        <v>0.9692322026387029</v>
      </c>
    </row>
    <row r="328" spans="1:6" ht="12.75">
      <c r="A328" s="9">
        <v>926</v>
      </c>
      <c r="B328" s="85"/>
      <c r="C328" s="31" t="s">
        <v>56</v>
      </c>
      <c r="D328" s="32"/>
      <c r="E328" s="109"/>
      <c r="F328" s="46"/>
    </row>
    <row r="329" spans="1:6" ht="12.75">
      <c r="A329" s="24" t="s">
        <v>44</v>
      </c>
      <c r="B329" s="47">
        <v>92601</v>
      </c>
      <c r="C329" s="26" t="s">
        <v>53</v>
      </c>
      <c r="D329" s="12"/>
      <c r="E329" s="104"/>
      <c r="F329" s="14"/>
    </row>
    <row r="330" spans="1:6" ht="12.75">
      <c r="A330" s="9"/>
      <c r="B330" s="25"/>
      <c r="C330" s="17" t="s">
        <v>127</v>
      </c>
      <c r="D330" s="12"/>
      <c r="E330" s="104"/>
      <c r="F330" s="14"/>
    </row>
    <row r="331" spans="1:6" ht="25.5" customHeight="1">
      <c r="A331" s="33"/>
      <c r="B331" s="25"/>
      <c r="C331" s="43" t="s">
        <v>14</v>
      </c>
      <c r="D331" s="45">
        <f>873+375+14352</f>
        <v>15600</v>
      </c>
      <c r="E331" s="101">
        <f>290.31+27.44+10865</f>
        <v>11182.75</v>
      </c>
      <c r="F331" s="46">
        <f>E331/D331</f>
        <v>0.7168429487179487</v>
      </c>
    </row>
    <row r="332" spans="1:6" ht="50.25" customHeight="1">
      <c r="A332" s="33"/>
      <c r="B332" s="25"/>
      <c r="C332" s="43" t="s">
        <v>226</v>
      </c>
      <c r="D332" s="45">
        <f>279500-155300-15600</f>
        <v>108600</v>
      </c>
      <c r="E332" s="101">
        <f>267698.44-150862.59-11182.75</f>
        <v>105653.1</v>
      </c>
      <c r="F332" s="46">
        <f>E332/D332</f>
        <v>0.972864640883978</v>
      </c>
    </row>
    <row r="333" spans="1:6" ht="12.75">
      <c r="A333" s="33"/>
      <c r="B333" s="25"/>
      <c r="C333" s="43" t="s">
        <v>163</v>
      </c>
      <c r="D333" s="45"/>
      <c r="E333" s="101"/>
      <c r="F333" s="46"/>
    </row>
    <row r="334" spans="1:6" ht="52.5" customHeight="1">
      <c r="A334" s="33"/>
      <c r="B334" s="25"/>
      <c r="C334" s="43" t="s">
        <v>183</v>
      </c>
      <c r="D334" s="45">
        <v>124400</v>
      </c>
      <c r="E334" s="101">
        <v>119962.6</v>
      </c>
      <c r="F334" s="14">
        <f>E334/D334</f>
        <v>0.9643295819935692</v>
      </c>
    </row>
    <row r="335" spans="1:6" ht="12.75">
      <c r="A335" s="33"/>
      <c r="B335" s="25"/>
      <c r="C335" s="43" t="s">
        <v>164</v>
      </c>
      <c r="D335" s="45">
        <v>30900</v>
      </c>
      <c r="E335" s="101">
        <v>30899.99</v>
      </c>
      <c r="F335" s="14">
        <f>E335/D335</f>
        <v>0.9999996763754045</v>
      </c>
    </row>
    <row r="336" spans="1:6" ht="15" customHeight="1">
      <c r="A336" s="9"/>
      <c r="B336" s="25">
        <v>92601</v>
      </c>
      <c r="C336" s="42" t="s">
        <v>62</v>
      </c>
      <c r="D336" s="12">
        <f>SUM(D331:D335)</f>
        <v>279500</v>
      </c>
      <c r="E336" s="104">
        <f>SUM(E331:E335)</f>
        <v>267698.44</v>
      </c>
      <c r="F336" s="14">
        <f>E336/D336</f>
        <v>0.9577761717352415</v>
      </c>
    </row>
    <row r="337" spans="1:6" ht="12.75">
      <c r="A337" s="9"/>
      <c r="B337" s="47">
        <v>92605</v>
      </c>
      <c r="C337" s="26" t="s">
        <v>43</v>
      </c>
      <c r="D337" s="12"/>
      <c r="E337" s="104"/>
      <c r="F337" s="14"/>
    </row>
    <row r="338" spans="1:6" ht="12.75">
      <c r="A338" s="9"/>
      <c r="B338" s="25"/>
      <c r="C338" s="17" t="s">
        <v>76</v>
      </c>
      <c r="D338" s="12"/>
      <c r="E338" s="104"/>
      <c r="F338" s="14"/>
    </row>
    <row r="339" spans="1:6" ht="12.75" customHeight="1">
      <c r="A339" s="33"/>
      <c r="B339" s="25"/>
      <c r="C339" s="40" t="s">
        <v>232</v>
      </c>
      <c r="D339" s="29">
        <v>55000</v>
      </c>
      <c r="E339" s="108">
        <v>55000</v>
      </c>
      <c r="F339" s="14">
        <f aca="true" t="shared" si="4" ref="F339:F347">E339/D339</f>
        <v>1</v>
      </c>
    </row>
    <row r="340" spans="1:6" ht="12.75">
      <c r="A340" s="33"/>
      <c r="B340" s="25"/>
      <c r="C340" s="40" t="s">
        <v>70</v>
      </c>
      <c r="D340" s="27">
        <v>6900</v>
      </c>
      <c r="E340" s="105">
        <v>6884.82</v>
      </c>
      <c r="F340" s="14">
        <f t="shared" si="4"/>
        <v>0.9977999999999999</v>
      </c>
    </row>
    <row r="341" spans="1:6" ht="25.5" customHeight="1">
      <c r="A341" s="33"/>
      <c r="B341" s="25"/>
      <c r="C341" s="40" t="s">
        <v>128</v>
      </c>
      <c r="D341" s="29">
        <f>87900-55000-6900</f>
        <v>26000</v>
      </c>
      <c r="E341" s="108">
        <f>86630.92-55000-6884.82</f>
        <v>24746.1</v>
      </c>
      <c r="F341" s="14">
        <f t="shared" si="4"/>
        <v>0.9517730769230769</v>
      </c>
    </row>
    <row r="342" spans="1:6" ht="12.75">
      <c r="A342" s="33"/>
      <c r="B342" s="39">
        <v>92605</v>
      </c>
      <c r="C342" s="40" t="s">
        <v>62</v>
      </c>
      <c r="D342" s="27">
        <f>SUM(D339:D341)</f>
        <v>87900</v>
      </c>
      <c r="E342" s="105">
        <f>SUM(E339:E341)</f>
        <v>86630.92</v>
      </c>
      <c r="F342" s="14">
        <f t="shared" si="4"/>
        <v>0.9855622298065984</v>
      </c>
    </row>
    <row r="343" spans="1:6" ht="12.75">
      <c r="A343" s="81">
        <v>926</v>
      </c>
      <c r="B343" s="69"/>
      <c r="C343" s="37" t="s">
        <v>81</v>
      </c>
      <c r="D343" s="18">
        <f>SUM(D342,D336)</f>
        <v>367400</v>
      </c>
      <c r="E343" s="93">
        <f>SUM(E342,E336)</f>
        <v>354329.36</v>
      </c>
      <c r="F343" s="14">
        <f t="shared" si="4"/>
        <v>0.9644239520958083</v>
      </c>
    </row>
    <row r="344" spans="1:6" ht="12.75">
      <c r="A344" s="55"/>
      <c r="B344" s="69"/>
      <c r="C344" s="37" t="s">
        <v>87</v>
      </c>
      <c r="D344" s="18">
        <f>SUM(D343,D327,D299,D263,D253,D216,D205,D152,D147,D141,D135,D111,D99,D72,D60,D47,D33,D28)</f>
        <v>26102680</v>
      </c>
      <c r="E344" s="93">
        <f>SUM(E343,E327,E299,E263,E253,E216,E205,E152,E147,E141,E135,E111,E99,E72,E60,E47,E33,E28)</f>
        <v>24743389.609999996</v>
      </c>
      <c r="F344" s="14">
        <f t="shared" si="4"/>
        <v>0.9479252555676274</v>
      </c>
    </row>
    <row r="345" spans="1:6" ht="12.75">
      <c r="A345" s="2"/>
      <c r="B345" s="2"/>
      <c r="C345" s="2"/>
      <c r="D345" s="2"/>
      <c r="E345" s="2"/>
      <c r="F345" s="99"/>
    </row>
    <row r="346" spans="1:6" ht="12.75">
      <c r="A346" s="91"/>
      <c r="B346" s="2"/>
      <c r="C346" s="2" t="s">
        <v>155</v>
      </c>
      <c r="D346" s="2">
        <f>D13+D14+D15+D16+D17+D18+D40+D41+D42+D45+D57+D58+D70+D80+D87+D88+D97+D120+D121+D130+D133+D160+D161+D162+D163+D170+D171+D183+D189+D266+D270+D283+D284+D295+D296+D297+D310+D311+D334+D335</f>
        <v>2454638</v>
      </c>
      <c r="E346" s="112">
        <f>E13+E14+E15+E16+E17+E18+E40+E41+E42+E45+E57+E58+E70+E80+E87+E88+E97+E120+E121+E130+E133+E160+E161+E162+E163+E170+E171+E183+E189+E266+E270+E283+E284+E295+E296+E297+E310+E311+E334+E335</f>
        <v>2139922.91</v>
      </c>
      <c r="F346" s="99">
        <f t="shared" si="4"/>
        <v>0.8717875751943872</v>
      </c>
    </row>
    <row r="347" spans="1:6" ht="12.75">
      <c r="A347" s="91"/>
      <c r="B347" s="2"/>
      <c r="C347" s="2" t="s">
        <v>156</v>
      </c>
      <c r="D347" s="2">
        <f>D344-D346</f>
        <v>23648042</v>
      </c>
      <c r="E347" s="112">
        <f>E344-E346</f>
        <v>22603466.699999996</v>
      </c>
      <c r="F347" s="99">
        <f t="shared" si="4"/>
        <v>0.9558282541954212</v>
      </c>
    </row>
    <row r="348" spans="1:6" ht="12.75">
      <c r="A348" s="91"/>
      <c r="B348" s="2"/>
      <c r="C348" s="2"/>
      <c r="D348" s="2"/>
      <c r="E348" s="2"/>
      <c r="F348" s="2"/>
    </row>
    <row r="349" spans="1:6" ht="12.75">
      <c r="A349" s="91"/>
      <c r="B349" s="2"/>
      <c r="C349" s="2"/>
      <c r="D349" s="2"/>
      <c r="E349" s="2"/>
      <c r="F349" s="2"/>
    </row>
    <row r="350" spans="1:6" ht="12.75">
      <c r="A350" s="91"/>
      <c r="B350" s="2"/>
      <c r="C350" s="2"/>
      <c r="D350" s="2"/>
      <c r="E350" s="2"/>
      <c r="F350" s="2"/>
    </row>
    <row r="351" spans="1:6" ht="12.75">
      <c r="A351" s="91"/>
      <c r="B351" s="2"/>
      <c r="C351" s="2"/>
      <c r="D351" s="2"/>
      <c r="E351" s="2"/>
      <c r="F351" s="2"/>
    </row>
    <row r="352" spans="1:6" ht="12.75">
      <c r="A352" s="91"/>
      <c r="B352" s="2"/>
      <c r="C352" s="2"/>
      <c r="D352" s="2"/>
      <c r="E352" s="2"/>
      <c r="F352" s="2"/>
    </row>
    <row r="353" spans="1:6" ht="12.75">
      <c r="A353" s="91"/>
      <c r="B353" s="2"/>
      <c r="C353" s="2"/>
      <c r="D353" s="2"/>
      <c r="E353" s="2"/>
      <c r="F353" s="2"/>
    </row>
    <row r="354" spans="1:6" ht="12.75">
      <c r="A354" s="91"/>
      <c r="B354" s="2"/>
      <c r="C354" s="2"/>
      <c r="D354" s="2"/>
      <c r="E354" s="2"/>
      <c r="F354" s="2"/>
    </row>
    <row r="355" spans="1:6" ht="12.75">
      <c r="A355" s="91"/>
      <c r="B355" s="2"/>
      <c r="C355" s="2"/>
      <c r="D355" s="2"/>
      <c r="E355" s="2"/>
      <c r="F355" s="2"/>
    </row>
    <row r="356" spans="1:6" ht="12.75">
      <c r="A356" s="91"/>
      <c r="B356" s="2"/>
      <c r="C356" s="2"/>
      <c r="D356" s="2"/>
      <c r="E356" s="2"/>
      <c r="F356" s="2"/>
    </row>
    <row r="357" spans="1:6" ht="12.75">
      <c r="A357" s="91"/>
      <c r="B357" s="2"/>
      <c r="C357" s="2"/>
      <c r="D357" s="2"/>
      <c r="E357" s="2"/>
      <c r="F357" s="2"/>
    </row>
    <row r="358" spans="1:6" ht="12.75">
      <c r="A358" s="91"/>
      <c r="B358" s="2"/>
      <c r="C358" s="2"/>
      <c r="D358" s="2"/>
      <c r="E358" s="2"/>
      <c r="F358" s="2"/>
    </row>
    <row r="359" spans="1:6" ht="12.75">
      <c r="A359" s="91"/>
      <c r="B359" s="2"/>
      <c r="C359" s="2"/>
      <c r="D359" s="2"/>
      <c r="E359" s="2"/>
      <c r="F359" s="2"/>
    </row>
    <row r="360" spans="1:6" ht="12.75">
      <c r="A360" s="91"/>
      <c r="B360" s="2"/>
      <c r="C360" s="2"/>
      <c r="D360" s="2"/>
      <c r="E360" s="2"/>
      <c r="F360" s="2"/>
    </row>
    <row r="361" spans="1:6" ht="12.75">
      <c r="A361" s="91"/>
      <c r="B361" s="2"/>
      <c r="C361" s="2"/>
      <c r="D361" s="2"/>
      <c r="E361" s="2"/>
      <c r="F361" s="2"/>
    </row>
    <row r="362" spans="1:6" ht="12.75">
      <c r="A362" s="91"/>
      <c r="B362" s="2"/>
      <c r="C362" s="2"/>
      <c r="D362" s="2"/>
      <c r="E362" s="2"/>
      <c r="F362" s="2"/>
    </row>
    <row r="363" spans="1:6" ht="12.75">
      <c r="A363" s="91"/>
      <c r="B363" s="2"/>
      <c r="C363" s="2"/>
      <c r="D363" s="2"/>
      <c r="E363" s="2"/>
      <c r="F363" s="2"/>
    </row>
    <row r="364" spans="1:6" ht="12.75">
      <c r="A364" s="91"/>
      <c r="B364" s="2"/>
      <c r="C364" s="2"/>
      <c r="D364" s="2"/>
      <c r="E364" s="2"/>
      <c r="F364" s="2"/>
    </row>
    <row r="365" spans="1:6" ht="12.75">
      <c r="A365" s="91"/>
      <c r="B365" s="2"/>
      <c r="C365" s="2"/>
      <c r="D365" s="2"/>
      <c r="E365" s="2"/>
      <c r="F365" s="2"/>
    </row>
    <row r="366" spans="1:6" ht="12.75">
      <c r="A366" s="91"/>
      <c r="B366" s="2"/>
      <c r="C366" s="2"/>
      <c r="D366" s="2"/>
      <c r="E366" s="2"/>
      <c r="F366" s="2"/>
    </row>
    <row r="367" spans="1:6" ht="12.75">
      <c r="A367" s="91"/>
      <c r="B367" s="2"/>
      <c r="C367" s="2"/>
      <c r="D367" s="2"/>
      <c r="E367" s="2"/>
      <c r="F367" s="2"/>
    </row>
    <row r="368" spans="1:6" ht="12.75">
      <c r="A368" s="91"/>
      <c r="B368" s="2"/>
      <c r="C368" s="2"/>
      <c r="D368" s="2"/>
      <c r="E368" s="2"/>
      <c r="F368" s="2"/>
    </row>
    <row r="369" spans="1:6" ht="12.75">
      <c r="A369" s="91"/>
      <c r="B369" s="2"/>
      <c r="C369" s="2"/>
      <c r="D369" s="2"/>
      <c r="E369" s="2"/>
      <c r="F369" s="2"/>
    </row>
    <row r="370" spans="1:6" ht="12.75">
      <c r="A370" s="91"/>
      <c r="B370" s="2"/>
      <c r="C370" s="2"/>
      <c r="D370" s="2"/>
      <c r="E370" s="2"/>
      <c r="F370" s="2"/>
    </row>
    <row r="371" spans="1:6" ht="12.75">
      <c r="A371" s="91"/>
      <c r="B371" s="2"/>
      <c r="C371" s="2"/>
      <c r="D371" s="2"/>
      <c r="E371" s="2"/>
      <c r="F371" s="2"/>
    </row>
    <row r="372" spans="1:6" ht="12.75">
      <c r="A372" s="91"/>
      <c r="B372" s="2"/>
      <c r="C372" s="2"/>
      <c r="D372" s="2"/>
      <c r="E372" s="2"/>
      <c r="F372" s="2"/>
    </row>
    <row r="373" spans="1:6" ht="12.75">
      <c r="A373" s="91"/>
      <c r="B373" s="2"/>
      <c r="C373" s="2"/>
      <c r="D373" s="2"/>
      <c r="E373" s="2"/>
      <c r="F373" s="2"/>
    </row>
    <row r="374" spans="1:6" ht="12.75">
      <c r="A374" s="91"/>
      <c r="B374" s="2"/>
      <c r="C374" s="2"/>
      <c r="D374" s="2"/>
      <c r="E374" s="2"/>
      <c r="F374" s="2"/>
    </row>
    <row r="375" spans="1:6" ht="12.75">
      <c r="A375" s="91"/>
      <c r="B375" s="2"/>
      <c r="C375" s="2"/>
      <c r="D375" s="2"/>
      <c r="E375" s="2"/>
      <c r="F375" s="2"/>
    </row>
    <row r="376" spans="1:6" ht="12.75">
      <c r="A376" s="91"/>
      <c r="B376" s="2"/>
      <c r="C376" s="2"/>
      <c r="D376" s="2"/>
      <c r="E376" s="2"/>
      <c r="F376" s="2"/>
    </row>
    <row r="377" spans="1:6" ht="12.75">
      <c r="A377" s="91"/>
      <c r="B377" s="2"/>
      <c r="C377" s="2"/>
      <c r="D377" s="2"/>
      <c r="E377" s="2"/>
      <c r="F377" s="2"/>
    </row>
    <row r="378" spans="1:6" ht="12.75">
      <c r="A378" s="91"/>
      <c r="B378" s="2"/>
      <c r="C378" s="2"/>
      <c r="D378" s="2"/>
      <c r="E378" s="2"/>
      <c r="F378" s="2"/>
    </row>
    <row r="379" spans="1:6" ht="12.75">
      <c r="A379" s="91"/>
      <c r="B379" s="2"/>
      <c r="C379" s="2"/>
      <c r="D379" s="2"/>
      <c r="E379" s="2"/>
      <c r="F379" s="2"/>
    </row>
    <row r="380" spans="1:6" ht="12.75">
      <c r="A380" s="91"/>
      <c r="B380" s="2"/>
      <c r="C380" s="2"/>
      <c r="D380" s="2"/>
      <c r="E380" s="2"/>
      <c r="F380" s="2"/>
    </row>
    <row r="381" spans="1:6" ht="12.75">
      <c r="A381" s="91"/>
      <c r="B381" s="2"/>
      <c r="C381" s="2"/>
      <c r="D381" s="2"/>
      <c r="E381" s="2"/>
      <c r="F381" s="2"/>
    </row>
    <row r="382" spans="1:6" ht="12.75">
      <c r="A382" s="91"/>
      <c r="B382" s="2"/>
      <c r="C382" s="2"/>
      <c r="D382" s="2"/>
      <c r="E382" s="2"/>
      <c r="F382" s="2"/>
    </row>
    <row r="383" spans="1:6" ht="12.75">
      <c r="A383" s="91"/>
      <c r="B383" s="2"/>
      <c r="C383" s="2"/>
      <c r="D383" s="2"/>
      <c r="E383" s="2"/>
      <c r="F383" s="2"/>
    </row>
    <row r="384" spans="1:6" ht="12.75">
      <c r="A384" s="91"/>
      <c r="B384" s="2"/>
      <c r="C384" s="2"/>
      <c r="D384" s="2"/>
      <c r="E384" s="2"/>
      <c r="F384" s="2"/>
    </row>
    <row r="385" spans="1:6" ht="12.75">
      <c r="A385" s="91"/>
      <c r="B385" s="2"/>
      <c r="C385" s="2"/>
      <c r="D385" s="2"/>
      <c r="E385" s="2"/>
      <c r="F385" s="2"/>
    </row>
    <row r="386" spans="1:6" ht="12.75">
      <c r="A386" s="91"/>
      <c r="B386" s="2"/>
      <c r="C386" s="2"/>
      <c r="D386" s="2"/>
      <c r="E386" s="2"/>
      <c r="F386" s="2"/>
    </row>
    <row r="387" spans="1:6" ht="12.75">
      <c r="A387" s="91"/>
      <c r="B387" s="2"/>
      <c r="C387" s="2"/>
      <c r="D387" s="2"/>
      <c r="E387" s="2"/>
      <c r="F387" s="2"/>
    </row>
    <row r="388" spans="1:6" ht="12.75">
      <c r="A388" s="91"/>
      <c r="B388" s="2"/>
      <c r="C388" s="2"/>
      <c r="D388" s="2"/>
      <c r="E388" s="2"/>
      <c r="F388" s="2"/>
    </row>
    <row r="389" spans="1:6" ht="12.75">
      <c r="A389" s="91"/>
      <c r="B389" s="2"/>
      <c r="C389" s="2"/>
      <c r="D389" s="2"/>
      <c r="E389" s="2"/>
      <c r="F389" s="2"/>
    </row>
    <row r="390" spans="1:6" ht="12.75">
      <c r="A390" s="91"/>
      <c r="B390" s="2"/>
      <c r="C390" s="2"/>
      <c r="D390" s="2"/>
      <c r="E390" s="2"/>
      <c r="F390" s="2"/>
    </row>
    <row r="391" spans="1:6" ht="12.75">
      <c r="A391" s="91"/>
      <c r="B391" s="2"/>
      <c r="C391" s="2"/>
      <c r="D391" s="2"/>
      <c r="E391" s="2"/>
      <c r="F391" s="2"/>
    </row>
    <row r="392" spans="1:6" ht="12.75">
      <c r="A392" s="91"/>
      <c r="B392" s="2"/>
      <c r="C392" s="2"/>
      <c r="D392" s="2"/>
      <c r="E392" s="2"/>
      <c r="F392" s="2"/>
    </row>
    <row r="393" spans="1:6" ht="12.75">
      <c r="A393" s="91"/>
      <c r="B393" s="2"/>
      <c r="C393" s="2"/>
      <c r="D393" s="2"/>
      <c r="E393" s="2"/>
      <c r="F393" s="2"/>
    </row>
    <row r="394" spans="1:6" ht="12.75">
      <c r="A394" s="91"/>
      <c r="B394" s="2"/>
      <c r="C394" s="2"/>
      <c r="D394" s="2"/>
      <c r="E394" s="2"/>
      <c r="F394" s="2"/>
    </row>
    <row r="395" spans="1:6" ht="12.75">
      <c r="A395" s="91"/>
      <c r="B395" s="2"/>
      <c r="C395" s="2"/>
      <c r="D395" s="2"/>
      <c r="E395" s="2"/>
      <c r="F395" s="2"/>
    </row>
    <row r="396" spans="1:6" ht="12.75">
      <c r="A396" s="91"/>
      <c r="B396" s="2"/>
      <c r="C396" s="2"/>
      <c r="D396" s="2"/>
      <c r="E396" s="2"/>
      <c r="F396" s="2"/>
    </row>
    <row r="397" spans="1:6" ht="12.75">
      <c r="A397" s="91"/>
      <c r="B397" s="2"/>
      <c r="C397" s="2"/>
      <c r="D397" s="2"/>
      <c r="E397" s="2"/>
      <c r="F397" s="2"/>
    </row>
    <row r="398" spans="1:6" ht="12.75">
      <c r="A398" s="91"/>
      <c r="B398" s="2"/>
      <c r="C398" s="2"/>
      <c r="D398" s="2"/>
      <c r="E398" s="2"/>
      <c r="F398" s="2"/>
    </row>
    <row r="399" spans="1:6" ht="12.75">
      <c r="A399" s="91"/>
      <c r="B399" s="2"/>
      <c r="C399" s="2"/>
      <c r="D399" s="2"/>
      <c r="E399" s="2"/>
      <c r="F399" s="2"/>
    </row>
    <row r="400" spans="1:6" ht="12.75">
      <c r="A400" s="91"/>
      <c r="B400" s="2"/>
      <c r="C400" s="2"/>
      <c r="D400" s="2"/>
      <c r="E400" s="2"/>
      <c r="F400" s="2"/>
    </row>
    <row r="401" spans="1:6" ht="12.75">
      <c r="A401" s="91"/>
      <c r="B401" s="2"/>
      <c r="C401" s="2"/>
      <c r="D401" s="2"/>
      <c r="E401" s="2"/>
      <c r="F401" s="2"/>
    </row>
    <row r="402" spans="1:6" ht="12.75">
      <c r="A402" s="91"/>
      <c r="B402" s="2"/>
      <c r="C402" s="2"/>
      <c r="D402" s="2"/>
      <c r="E402" s="2"/>
      <c r="F402" s="2"/>
    </row>
    <row r="403" spans="1:6" ht="12.75">
      <c r="A403" s="91"/>
      <c r="B403" s="2"/>
      <c r="C403" s="2"/>
      <c r="D403" s="2"/>
      <c r="E403" s="2"/>
      <c r="F403" s="2"/>
    </row>
    <row r="404" spans="1:6" ht="12.75">
      <c r="A404" s="91"/>
      <c r="B404" s="2"/>
      <c r="C404" s="2"/>
      <c r="D404" s="2"/>
      <c r="E404" s="2"/>
      <c r="F404" s="2"/>
    </row>
    <row r="405" spans="1:6" ht="12.75">
      <c r="A405" s="91"/>
      <c r="B405" s="2"/>
      <c r="C405" s="2"/>
      <c r="D405" s="2"/>
      <c r="E405" s="2"/>
      <c r="F405" s="2"/>
    </row>
    <row r="406" spans="1:6" ht="12.75">
      <c r="A406" s="91"/>
      <c r="B406" s="2"/>
      <c r="C406" s="2"/>
      <c r="D406" s="2"/>
      <c r="E406" s="2"/>
      <c r="F406" s="2"/>
    </row>
    <row r="407" spans="1:6" ht="12.75">
      <c r="A407" s="91"/>
      <c r="B407" s="2"/>
      <c r="C407" s="2"/>
      <c r="D407" s="2"/>
      <c r="E407" s="2"/>
      <c r="F407" s="2"/>
    </row>
    <row r="408" spans="1:6" ht="12.75">
      <c r="A408" s="91"/>
      <c r="B408" s="2"/>
      <c r="C408" s="2"/>
      <c r="D408" s="2"/>
      <c r="E408" s="2"/>
      <c r="F408" s="2"/>
    </row>
    <row r="409" spans="1:6" ht="12.75">
      <c r="A409" s="91"/>
      <c r="B409" s="2"/>
      <c r="C409" s="2"/>
      <c r="D409" s="2"/>
      <c r="E409" s="2"/>
      <c r="F409" s="2"/>
    </row>
    <row r="410" spans="1:6" ht="12.75">
      <c r="A410" s="91"/>
      <c r="B410" s="2"/>
      <c r="C410" s="2"/>
      <c r="D410" s="2"/>
      <c r="E410" s="2"/>
      <c r="F410" s="2"/>
    </row>
    <row r="411" spans="1:6" ht="12.75">
      <c r="A411" s="91"/>
      <c r="B411" s="2"/>
      <c r="C411" s="2"/>
      <c r="D411" s="2"/>
      <c r="E411" s="2"/>
      <c r="F411" s="2"/>
    </row>
    <row r="412" spans="1:6" ht="12.75">
      <c r="A412" s="91"/>
      <c r="B412" s="2"/>
      <c r="C412" s="2"/>
      <c r="D412" s="2"/>
      <c r="E412" s="2"/>
      <c r="F412" s="2"/>
    </row>
    <row r="413" spans="1:6" ht="12.75">
      <c r="A413" s="91"/>
      <c r="B413" s="2"/>
      <c r="C413" s="2"/>
      <c r="D413" s="2"/>
      <c r="E413" s="2"/>
      <c r="F413" s="2"/>
    </row>
    <row r="414" spans="1:6" ht="12.75">
      <c r="A414" s="91"/>
      <c r="B414" s="2"/>
      <c r="C414" s="2"/>
      <c r="D414" s="2"/>
      <c r="E414" s="2"/>
      <c r="F414" s="2"/>
    </row>
    <row r="415" spans="1:6" ht="12.75">
      <c r="A415" s="91"/>
      <c r="B415" s="2"/>
      <c r="C415" s="2"/>
      <c r="D415" s="2"/>
      <c r="E415" s="2"/>
      <c r="F415" s="2"/>
    </row>
    <row r="416" spans="1:6" ht="12.75">
      <c r="A416" s="91"/>
      <c r="B416" s="2"/>
      <c r="C416" s="2"/>
      <c r="D416" s="2"/>
      <c r="E416" s="2"/>
      <c r="F416" s="2"/>
    </row>
    <row r="417" spans="1:6" ht="12.75">
      <c r="A417" s="91"/>
      <c r="B417" s="2"/>
      <c r="C417" s="2"/>
      <c r="D417" s="2"/>
      <c r="E417" s="2"/>
      <c r="F417" s="2"/>
    </row>
    <row r="418" spans="1:6" ht="12.75">
      <c r="A418" s="91"/>
      <c r="B418" s="2"/>
      <c r="C418" s="2"/>
      <c r="D418" s="2"/>
      <c r="E418" s="2"/>
      <c r="F418" s="2"/>
    </row>
    <row r="419" spans="1:6" ht="12.75">
      <c r="A419" s="91"/>
      <c r="B419" s="2"/>
      <c r="C419" s="2"/>
      <c r="D419" s="2"/>
      <c r="E419" s="2"/>
      <c r="F419" s="2"/>
    </row>
    <row r="420" spans="1:6" ht="12.75">
      <c r="A420" s="91"/>
      <c r="B420" s="2"/>
      <c r="C420" s="2"/>
      <c r="D420" s="2"/>
      <c r="E420" s="2"/>
      <c r="F420" s="2"/>
    </row>
    <row r="421" spans="1:6" ht="12.75">
      <c r="A421" s="91"/>
      <c r="B421" s="2"/>
      <c r="C421" s="2"/>
      <c r="D421" s="2"/>
      <c r="E421" s="2"/>
      <c r="F421" s="2"/>
    </row>
    <row r="422" spans="1:6" ht="12.75">
      <c r="A422" s="91"/>
      <c r="B422" s="2"/>
      <c r="C422" s="2"/>
      <c r="D422" s="2"/>
      <c r="E422" s="2"/>
      <c r="F422" s="2"/>
    </row>
    <row r="423" spans="1:6" ht="12.75">
      <c r="A423" s="91"/>
      <c r="B423" s="2"/>
      <c r="C423" s="2"/>
      <c r="D423" s="2"/>
      <c r="E423" s="2"/>
      <c r="F423" s="2"/>
    </row>
    <row r="424" spans="1:6" ht="12.75">
      <c r="A424" s="91"/>
      <c r="B424" s="2"/>
      <c r="C424" s="2"/>
      <c r="D424" s="2"/>
      <c r="E424" s="2"/>
      <c r="F424" s="2"/>
    </row>
    <row r="425" spans="1:6" ht="12.75">
      <c r="A425" s="91"/>
      <c r="B425" s="2"/>
      <c r="C425" s="2"/>
      <c r="D425" s="2"/>
      <c r="E425" s="2"/>
      <c r="F425" s="2"/>
    </row>
    <row r="426" spans="1:6" ht="12.75">
      <c r="A426" s="91"/>
      <c r="B426" s="2"/>
      <c r="C426" s="2"/>
      <c r="D426" s="2"/>
      <c r="E426" s="2"/>
      <c r="F426" s="2"/>
    </row>
    <row r="427" spans="1:6" ht="12.75">
      <c r="A427" s="91"/>
      <c r="B427" s="2"/>
      <c r="C427" s="2"/>
      <c r="D427" s="2"/>
      <c r="E427" s="2"/>
      <c r="F427" s="2"/>
    </row>
    <row r="428" spans="1:6" ht="12.75">
      <c r="A428" s="91"/>
      <c r="B428" s="2"/>
      <c r="C428" s="2"/>
      <c r="D428" s="2"/>
      <c r="E428" s="2"/>
      <c r="F428" s="2"/>
    </row>
    <row r="429" spans="1:6" ht="12.75">
      <c r="A429" s="91"/>
      <c r="B429" s="2"/>
      <c r="C429" s="2"/>
      <c r="D429" s="2"/>
      <c r="E429" s="2"/>
      <c r="F429" s="2"/>
    </row>
    <row r="430" spans="1:6" ht="12.75">
      <c r="A430" s="91"/>
      <c r="B430" s="2"/>
      <c r="C430" s="2"/>
      <c r="D430" s="2"/>
      <c r="E430" s="2"/>
      <c r="F430" s="2"/>
    </row>
    <row r="431" spans="1:6" ht="12.75">
      <c r="A431" s="91"/>
      <c r="B431" s="2"/>
      <c r="C431" s="2"/>
      <c r="D431" s="2"/>
      <c r="E431" s="2"/>
      <c r="F431" s="2"/>
    </row>
    <row r="432" spans="1:6" ht="12.75">
      <c r="A432" s="91"/>
      <c r="B432" s="2"/>
      <c r="C432" s="2"/>
      <c r="D432" s="2"/>
      <c r="E432" s="2"/>
      <c r="F432" s="2"/>
    </row>
    <row r="433" spans="1:6" ht="12.75">
      <c r="A433" s="91"/>
      <c r="B433" s="2"/>
      <c r="C433" s="2"/>
      <c r="D433" s="2"/>
      <c r="E433" s="2"/>
      <c r="F433" s="2"/>
    </row>
    <row r="434" spans="1:6" ht="12.75">
      <c r="A434" s="91"/>
      <c r="B434" s="2"/>
      <c r="C434" s="2"/>
      <c r="D434" s="2"/>
      <c r="E434" s="2"/>
      <c r="F434" s="2"/>
    </row>
    <row r="435" spans="1:6" ht="12.75">
      <c r="A435" s="91"/>
      <c r="B435" s="2"/>
      <c r="C435" s="2"/>
      <c r="D435" s="2"/>
      <c r="E435" s="2"/>
      <c r="F435" s="2"/>
    </row>
    <row r="436" spans="1:6" ht="12.75">
      <c r="A436" s="91"/>
      <c r="B436" s="2"/>
      <c r="C436" s="2"/>
      <c r="D436" s="2"/>
      <c r="E436" s="2"/>
      <c r="F436" s="2"/>
    </row>
    <row r="437" spans="1:6" ht="12.75">
      <c r="A437" s="91"/>
      <c r="B437" s="2"/>
      <c r="C437" s="2"/>
      <c r="D437" s="2"/>
      <c r="E437" s="2"/>
      <c r="F437" s="2"/>
    </row>
    <row r="438" spans="1:6" ht="12.75">
      <c r="A438" s="2"/>
      <c r="B438" s="2"/>
      <c r="C438" s="2"/>
      <c r="D438" s="2"/>
      <c r="E438" s="2"/>
      <c r="F438" s="2"/>
    </row>
    <row r="439" spans="1:6" ht="12.75">
      <c r="A439" s="2"/>
      <c r="B439" s="2"/>
      <c r="C439" s="2"/>
      <c r="D439" s="2"/>
      <c r="E439" s="2"/>
      <c r="F439" s="2"/>
    </row>
    <row r="440" spans="1:6" ht="12.75">
      <c r="A440" s="2"/>
      <c r="B440" s="2"/>
      <c r="C440" s="2"/>
      <c r="D440" s="2"/>
      <c r="E440" s="2"/>
      <c r="F440" s="2"/>
    </row>
    <row r="441" spans="1:6" ht="12.75">
      <c r="A441" s="2"/>
      <c r="B441" s="2"/>
      <c r="C441" s="2"/>
      <c r="D441" s="2"/>
      <c r="E441" s="2"/>
      <c r="F441" s="2"/>
    </row>
    <row r="442" spans="1:6" ht="12.75">
      <c r="A442" s="2"/>
      <c r="B442" s="2"/>
      <c r="C442" s="2"/>
      <c r="D442" s="2"/>
      <c r="E442" s="2"/>
      <c r="F442" s="2"/>
    </row>
    <row r="443" spans="1:6" ht="12.75">
      <c r="A443" s="2"/>
      <c r="B443" s="2"/>
      <c r="C443" s="2"/>
      <c r="D443" s="2"/>
      <c r="E443" s="2"/>
      <c r="F443" s="2"/>
    </row>
    <row r="444" spans="1:6" ht="12.75">
      <c r="A444" s="2"/>
      <c r="B444" s="2"/>
      <c r="C444" s="2"/>
      <c r="D444" s="2"/>
      <c r="E444" s="2"/>
      <c r="F444" s="2"/>
    </row>
    <row r="445" spans="1:6" ht="12.75">
      <c r="A445" s="2"/>
      <c r="B445" s="2"/>
      <c r="C445" s="2"/>
      <c r="D445" s="2"/>
      <c r="E445" s="2"/>
      <c r="F445" s="2"/>
    </row>
    <row r="446" spans="1:6" ht="12.75">
      <c r="A446" s="2"/>
      <c r="B446" s="2"/>
      <c r="C446" s="2"/>
      <c r="D446" s="2"/>
      <c r="E446" s="2"/>
      <c r="F446" s="2"/>
    </row>
    <row r="447" spans="1:6" ht="12.75">
      <c r="A447" s="2"/>
      <c r="B447" s="2"/>
      <c r="C447" s="2"/>
      <c r="D447" s="2"/>
      <c r="E447" s="2"/>
      <c r="F447" s="2"/>
    </row>
    <row r="448" spans="1:6" ht="12.75">
      <c r="A448" s="2"/>
      <c r="B448" s="2"/>
      <c r="C448" s="2"/>
      <c r="D448" s="2"/>
      <c r="E448" s="2"/>
      <c r="F448" s="2"/>
    </row>
    <row r="449" spans="1:6" ht="12.75">
      <c r="A449" s="2"/>
      <c r="B449" s="2"/>
      <c r="C449" s="2"/>
      <c r="D449" s="2"/>
      <c r="E449" s="2"/>
      <c r="F449" s="2"/>
    </row>
    <row r="450" spans="1:6" ht="12.75">
      <c r="A450" s="2"/>
      <c r="B450" s="2"/>
      <c r="C450" s="2"/>
      <c r="D450" s="2"/>
      <c r="E450" s="2"/>
      <c r="F450" s="2"/>
    </row>
    <row r="451" spans="1:6" ht="12.75">
      <c r="A451" s="2"/>
      <c r="B451" s="2"/>
      <c r="C451" s="2"/>
      <c r="D451" s="2"/>
      <c r="E451" s="2"/>
      <c r="F451" s="2"/>
    </row>
    <row r="452" spans="1:6" ht="12.75">
      <c r="A452" s="2"/>
      <c r="B452" s="2"/>
      <c r="C452" s="2"/>
      <c r="D452" s="2"/>
      <c r="E452" s="2"/>
      <c r="F452" s="2"/>
    </row>
    <row r="453" spans="1:6" ht="12.75">
      <c r="A453" s="2"/>
      <c r="B453" s="2"/>
      <c r="C453" s="2"/>
      <c r="D453" s="2"/>
      <c r="E453" s="2"/>
      <c r="F453" s="2"/>
    </row>
    <row r="454" spans="1:6" ht="12.75">
      <c r="A454" s="2"/>
      <c r="B454" s="2"/>
      <c r="C454" s="2"/>
      <c r="D454" s="2"/>
      <c r="E454" s="2"/>
      <c r="F454" s="2"/>
    </row>
    <row r="455" spans="1:6" ht="12.75">
      <c r="A455" s="2"/>
      <c r="B455" s="2"/>
      <c r="C455" s="2"/>
      <c r="D455" s="2"/>
      <c r="E455" s="2"/>
      <c r="F455" s="2"/>
    </row>
    <row r="456" spans="1:6" ht="12.75">
      <c r="A456" s="2"/>
      <c r="B456" s="2"/>
      <c r="C456" s="2"/>
      <c r="D456" s="2"/>
      <c r="E456" s="2"/>
      <c r="F456" s="2"/>
    </row>
    <row r="457" spans="1:6" ht="12.75">
      <c r="A457" s="2"/>
      <c r="B457" s="2"/>
      <c r="C457" s="2"/>
      <c r="D457" s="2"/>
      <c r="E457" s="2"/>
      <c r="F457" s="2"/>
    </row>
    <row r="458" spans="1:6" ht="12.75">
      <c r="A458" s="2"/>
      <c r="B458" s="2"/>
      <c r="C458" s="2"/>
      <c r="D458" s="2"/>
      <c r="E458" s="2"/>
      <c r="F458" s="2"/>
    </row>
    <row r="459" spans="1:6" ht="12.75">
      <c r="A459" s="2"/>
      <c r="B459" s="2"/>
      <c r="C459" s="2"/>
      <c r="D459" s="2"/>
      <c r="E459" s="2"/>
      <c r="F459" s="2"/>
    </row>
    <row r="460" spans="1:6" ht="12.75">
      <c r="A460" s="2"/>
      <c r="B460" s="2"/>
      <c r="C460" s="2"/>
      <c r="D460" s="2"/>
      <c r="E460" s="2"/>
      <c r="F460" s="2"/>
    </row>
    <row r="461" spans="1:6" ht="12.75">
      <c r="A461" s="2"/>
      <c r="B461" s="2"/>
      <c r="C461" s="2"/>
      <c r="D461" s="2"/>
      <c r="E461" s="2"/>
      <c r="F461" s="2"/>
    </row>
    <row r="462" spans="1:6" ht="12.75">
      <c r="A462" s="2"/>
      <c r="B462" s="2"/>
      <c r="C462" s="2"/>
      <c r="D462" s="2"/>
      <c r="E462" s="2"/>
      <c r="F462" s="2"/>
    </row>
    <row r="463" spans="1:6" ht="12.75">
      <c r="A463" s="2"/>
      <c r="B463" s="2"/>
      <c r="C463" s="2"/>
      <c r="D463" s="2"/>
      <c r="E463" s="2"/>
      <c r="F463" s="2"/>
    </row>
    <row r="464" spans="1:6" ht="12.75">
      <c r="A464" s="2"/>
      <c r="B464" s="2"/>
      <c r="C464" s="2"/>
      <c r="D464" s="2"/>
      <c r="E464" s="2"/>
      <c r="F464" s="2"/>
    </row>
    <row r="465" spans="1:6" ht="12.75">
      <c r="A465" s="2"/>
      <c r="B465" s="2"/>
      <c r="C465" s="2"/>
      <c r="D465" s="2"/>
      <c r="E465" s="2"/>
      <c r="F465" s="2"/>
    </row>
    <row r="466" spans="1:6" ht="12.75">
      <c r="A466" s="2"/>
      <c r="B466" s="2"/>
      <c r="C466" s="2"/>
      <c r="D466" s="2"/>
      <c r="E466" s="2"/>
      <c r="F466" s="2"/>
    </row>
    <row r="467" spans="1:6" ht="12.75">
      <c r="A467" s="2"/>
      <c r="B467" s="2"/>
      <c r="C467" s="2"/>
      <c r="D467" s="2"/>
      <c r="E467" s="2"/>
      <c r="F467" s="2"/>
    </row>
    <row r="468" spans="1:6" ht="12.75">
      <c r="A468" s="2"/>
      <c r="B468" s="2"/>
      <c r="C468" s="2"/>
      <c r="D468" s="2"/>
      <c r="E468" s="2"/>
      <c r="F468" s="2"/>
    </row>
    <row r="469" spans="1:6" ht="12.75">
      <c r="A469" s="2"/>
      <c r="B469" s="2"/>
      <c r="C469" s="2"/>
      <c r="D469" s="2"/>
      <c r="E469" s="2"/>
      <c r="F469" s="2"/>
    </row>
    <row r="470" spans="1:6" ht="12.75">
      <c r="A470" s="2"/>
      <c r="B470" s="2"/>
      <c r="C470" s="2"/>
      <c r="D470" s="2"/>
      <c r="E470" s="2"/>
      <c r="F470" s="2"/>
    </row>
    <row r="471" spans="1:6" ht="12.75">
      <c r="A471" s="2"/>
      <c r="B471" s="2"/>
      <c r="C471" s="2"/>
      <c r="D471" s="2"/>
      <c r="E471" s="2"/>
      <c r="F471" s="2"/>
    </row>
    <row r="472" spans="1:6" ht="12.75">
      <c r="A472" s="2"/>
      <c r="B472" s="2"/>
      <c r="C472" s="2"/>
      <c r="D472" s="2"/>
      <c r="E472" s="2"/>
      <c r="F472" s="2"/>
    </row>
    <row r="473" spans="1:6" ht="12.75">
      <c r="A473" s="2"/>
      <c r="B473" s="2"/>
      <c r="C473" s="2"/>
      <c r="D473" s="2"/>
      <c r="E473" s="2"/>
      <c r="F473" s="2"/>
    </row>
    <row r="474" spans="1:6" ht="12.75">
      <c r="A474" s="2"/>
      <c r="B474" s="2"/>
      <c r="C474" s="2"/>
      <c r="D474" s="2"/>
      <c r="E474" s="2"/>
      <c r="F474" s="2"/>
    </row>
    <row r="475" spans="1:6" ht="12.75">
      <c r="A475" s="2"/>
      <c r="B475" s="2"/>
      <c r="C475" s="2"/>
      <c r="D475" s="2"/>
      <c r="E475" s="2"/>
      <c r="F475" s="2"/>
    </row>
    <row r="476" spans="1:6" ht="12.75">
      <c r="A476" s="2"/>
      <c r="B476" s="2"/>
      <c r="C476" s="2"/>
      <c r="D476" s="2"/>
      <c r="E476" s="2"/>
      <c r="F476" s="2"/>
    </row>
    <row r="477" spans="1:6" ht="12.75">
      <c r="A477" s="2"/>
      <c r="B477" s="2"/>
      <c r="C477" s="2"/>
      <c r="D477" s="2"/>
      <c r="E477" s="2"/>
      <c r="F477" s="2"/>
    </row>
    <row r="478" spans="1:6" ht="12.75">
      <c r="A478" s="2"/>
      <c r="B478" s="2"/>
      <c r="C478" s="2"/>
      <c r="D478" s="2"/>
      <c r="E478" s="2"/>
      <c r="F478" s="2"/>
    </row>
    <row r="479" spans="1:6" ht="12.75">
      <c r="A479" s="2"/>
      <c r="B479" s="2"/>
      <c r="C479" s="2"/>
      <c r="D479" s="2"/>
      <c r="E479" s="2"/>
      <c r="F479" s="2"/>
    </row>
    <row r="480" spans="1:6" ht="12.75">
      <c r="A480" s="2"/>
      <c r="B480" s="2"/>
      <c r="C480" s="2"/>
      <c r="D480" s="2"/>
      <c r="E480" s="2"/>
      <c r="F480" s="2"/>
    </row>
    <row r="481" spans="1:6" ht="12.75">
      <c r="A481" s="2"/>
      <c r="B481" s="2"/>
      <c r="C481" s="2"/>
      <c r="D481" s="2"/>
      <c r="E481" s="2"/>
      <c r="F481" s="2"/>
    </row>
    <row r="482" spans="1:6" ht="12.75">
      <c r="A482" s="2"/>
      <c r="B482" s="2"/>
      <c r="C482" s="2"/>
      <c r="D482" s="2"/>
      <c r="E482" s="2"/>
      <c r="F482" s="2"/>
    </row>
    <row r="483" spans="1:6" ht="12.75">
      <c r="A483" s="2"/>
      <c r="B483" s="2"/>
      <c r="C483" s="2"/>
      <c r="D483" s="2"/>
      <c r="E483" s="2"/>
      <c r="F483" s="2"/>
    </row>
    <row r="484" spans="1:6" ht="12.75">
      <c r="A484" s="2"/>
      <c r="B484" s="2"/>
      <c r="C484" s="2"/>
      <c r="D484" s="2"/>
      <c r="E484" s="2"/>
      <c r="F484" s="2"/>
    </row>
    <row r="485" spans="1:6" ht="12.75">
      <c r="A485" s="2"/>
      <c r="B485" s="2"/>
      <c r="C485" s="2"/>
      <c r="D485" s="2"/>
      <c r="E485" s="2"/>
      <c r="F485" s="2"/>
    </row>
    <row r="486" spans="1:6" ht="12.75">
      <c r="A486" s="2"/>
      <c r="B486" s="2"/>
      <c r="C486" s="2"/>
      <c r="D486" s="2"/>
      <c r="E486" s="2"/>
      <c r="F486" s="2"/>
    </row>
    <row r="487" spans="1:6" ht="12.75">
      <c r="A487" s="2"/>
      <c r="B487" s="2"/>
      <c r="C487" s="2"/>
      <c r="D487" s="2"/>
      <c r="E487" s="2"/>
      <c r="F487" s="2"/>
    </row>
    <row r="488" spans="1:6" ht="12.75">
      <c r="A488" s="2"/>
      <c r="B488" s="2"/>
      <c r="C488" s="2"/>
      <c r="D488" s="2"/>
      <c r="E488" s="2"/>
      <c r="F488" s="2"/>
    </row>
    <row r="489" spans="1:6" ht="12.75">
      <c r="A489" s="2"/>
      <c r="B489" s="2"/>
      <c r="C489" s="2"/>
      <c r="D489" s="2"/>
      <c r="E489" s="2"/>
      <c r="F489" s="2"/>
    </row>
    <row r="490" spans="1:6" ht="12.75">
      <c r="A490" s="2"/>
      <c r="B490" s="2"/>
      <c r="C490" s="2"/>
      <c r="D490" s="2"/>
      <c r="E490" s="2"/>
      <c r="F490" s="2"/>
    </row>
    <row r="491" spans="1:6" ht="12.75">
      <c r="A491" s="2"/>
      <c r="B491" s="2"/>
      <c r="C491" s="2"/>
      <c r="D491" s="2"/>
      <c r="E491" s="2"/>
      <c r="F491" s="2"/>
    </row>
    <row r="492" spans="1:6" ht="12.75">
      <c r="A492" s="2"/>
      <c r="B492" s="2"/>
      <c r="C492" s="2"/>
      <c r="D492" s="2"/>
      <c r="E492" s="2"/>
      <c r="F492" s="2"/>
    </row>
    <row r="493" spans="1:6" ht="12.75">
      <c r="A493" s="2"/>
      <c r="B493" s="2"/>
      <c r="C493" s="2"/>
      <c r="D493" s="2"/>
      <c r="E493" s="2"/>
      <c r="F493" s="2"/>
    </row>
    <row r="494" spans="1:6" ht="12.75">
      <c r="A494" s="2"/>
      <c r="B494" s="2"/>
      <c r="C494" s="2"/>
      <c r="D494" s="2"/>
      <c r="E494" s="2"/>
      <c r="F494" s="2"/>
    </row>
    <row r="495" spans="1:6" ht="12.75">
      <c r="A495" s="2"/>
      <c r="B495" s="2"/>
      <c r="C495" s="2"/>
      <c r="D495" s="2"/>
      <c r="E495" s="2"/>
      <c r="F495" s="2"/>
    </row>
    <row r="496" spans="1:6" ht="12.75">
      <c r="A496" s="2"/>
      <c r="B496" s="2"/>
      <c r="C496" s="2"/>
      <c r="D496" s="2"/>
      <c r="E496" s="2"/>
      <c r="F496" s="2"/>
    </row>
    <row r="497" spans="1:6" ht="12.75">
      <c r="A497" s="2"/>
      <c r="B497" s="2"/>
      <c r="C497" s="2"/>
      <c r="D497" s="2"/>
      <c r="E497" s="2"/>
      <c r="F497" s="2"/>
    </row>
    <row r="498" spans="1:6" ht="12.75">
      <c r="A498" s="2"/>
      <c r="B498" s="2"/>
      <c r="C498" s="2"/>
      <c r="D498" s="2"/>
      <c r="E498" s="2"/>
      <c r="F498" s="2"/>
    </row>
    <row r="499" spans="1:6" ht="12.75">
      <c r="A499" s="2"/>
      <c r="B499" s="2"/>
      <c r="C499" s="2"/>
      <c r="D499" s="2"/>
      <c r="E499" s="2"/>
      <c r="F499" s="2"/>
    </row>
    <row r="500" spans="1:6" ht="12.75">
      <c r="A500" s="2"/>
      <c r="B500" s="2"/>
      <c r="C500" s="2"/>
      <c r="D500" s="2"/>
      <c r="E500" s="2"/>
      <c r="F500" s="2"/>
    </row>
    <row r="501" spans="1:6" ht="12.75">
      <c r="A501" s="2"/>
      <c r="B501" s="2"/>
      <c r="C501" s="2"/>
      <c r="D501" s="2"/>
      <c r="E501" s="2"/>
      <c r="F501" s="2"/>
    </row>
    <row r="502" spans="1:6" ht="12.75">
      <c r="A502" s="2"/>
      <c r="B502" s="2"/>
      <c r="C502" s="2"/>
      <c r="D502" s="2"/>
      <c r="E502" s="2"/>
      <c r="F502" s="2"/>
    </row>
    <row r="503" spans="1:6" ht="12.75">
      <c r="A503" s="2"/>
      <c r="B503" s="2"/>
      <c r="C503" s="2"/>
      <c r="D503" s="2"/>
      <c r="E503" s="2"/>
      <c r="F503" s="2"/>
    </row>
    <row r="504" spans="1:6" ht="12.75">
      <c r="A504" s="2"/>
      <c r="B504" s="2"/>
      <c r="C504" s="2"/>
      <c r="D504" s="2"/>
      <c r="E504" s="2"/>
      <c r="F504" s="2"/>
    </row>
    <row r="505" spans="1:6" ht="12.75">
      <c r="A505" s="2"/>
      <c r="B505" s="2"/>
      <c r="C505" s="2"/>
      <c r="D505" s="2"/>
      <c r="E505" s="2"/>
      <c r="F505" s="2"/>
    </row>
    <row r="506" spans="1:6" ht="12.75">
      <c r="A506" s="2"/>
      <c r="B506" s="2"/>
      <c r="C506" s="2"/>
      <c r="D506" s="2"/>
      <c r="E506" s="2"/>
      <c r="F506" s="2"/>
    </row>
    <row r="507" spans="1:6" ht="12.75">
      <c r="A507" s="2"/>
      <c r="B507" s="2"/>
      <c r="C507" s="2"/>
      <c r="D507" s="2"/>
      <c r="E507" s="2"/>
      <c r="F507" s="2"/>
    </row>
    <row r="508" spans="1:6" ht="12.75">
      <c r="A508" s="2"/>
      <c r="B508" s="2"/>
      <c r="C508" s="2"/>
      <c r="D508" s="2"/>
      <c r="E508" s="2"/>
      <c r="F508" s="2"/>
    </row>
    <row r="509" spans="1:6" ht="12.75">
      <c r="A509" s="2"/>
      <c r="B509" s="2"/>
      <c r="C509" s="2"/>
      <c r="D509" s="2"/>
      <c r="E509" s="2"/>
      <c r="F509" s="2"/>
    </row>
    <row r="510" spans="1:6" ht="12.75">
      <c r="A510" s="2"/>
      <c r="B510" s="2"/>
      <c r="C510" s="2"/>
      <c r="D510" s="2"/>
      <c r="E510" s="2"/>
      <c r="F510" s="2"/>
    </row>
    <row r="511" spans="1:6" ht="12.75">
      <c r="A511" s="2"/>
      <c r="B511" s="2"/>
      <c r="C511" s="2"/>
      <c r="D511" s="2"/>
      <c r="E511" s="2"/>
      <c r="F511" s="2"/>
    </row>
    <row r="512" spans="1:6" ht="12.75">
      <c r="A512" s="2"/>
      <c r="B512" s="2"/>
      <c r="C512" s="2"/>
      <c r="D512" s="2"/>
      <c r="E512" s="2"/>
      <c r="F512" s="2"/>
    </row>
    <row r="513" spans="1:6" ht="12.75">
      <c r="A513" s="2"/>
      <c r="B513" s="2"/>
      <c r="C513" s="2"/>
      <c r="D513" s="2"/>
      <c r="E513" s="2"/>
      <c r="F513" s="2"/>
    </row>
    <row r="514" spans="1:6" ht="12.75">
      <c r="A514" s="2"/>
      <c r="B514" s="2"/>
      <c r="C514" s="2"/>
      <c r="D514" s="2"/>
      <c r="E514" s="2"/>
      <c r="F514" s="2"/>
    </row>
    <row r="515" spans="1:6" ht="12.75">
      <c r="A515" s="2"/>
      <c r="B515" s="2"/>
      <c r="C515" s="2"/>
      <c r="D515" s="2"/>
      <c r="E515" s="2"/>
      <c r="F515" s="2"/>
    </row>
    <row r="516" spans="1:6" ht="12.75">
      <c r="A516" s="2"/>
      <c r="B516" s="2"/>
      <c r="C516" s="2"/>
      <c r="D516" s="2"/>
      <c r="E516" s="2"/>
      <c r="F516" s="2"/>
    </row>
    <row r="517" spans="1:6" ht="12.75">
      <c r="A517" s="2"/>
      <c r="B517" s="2"/>
      <c r="C517" s="2"/>
      <c r="D517" s="2"/>
      <c r="E517" s="2"/>
      <c r="F517" s="2"/>
    </row>
    <row r="518" spans="1:6" ht="12.75">
      <c r="A518" s="2"/>
      <c r="B518" s="2"/>
      <c r="C518" s="2"/>
      <c r="D518" s="2"/>
      <c r="E518" s="2"/>
      <c r="F518" s="2"/>
    </row>
    <row r="519" spans="1:6" ht="12.75">
      <c r="A519" s="2"/>
      <c r="B519" s="2"/>
      <c r="C519" s="2"/>
      <c r="D519" s="2"/>
      <c r="E519" s="2"/>
      <c r="F519" s="2"/>
    </row>
    <row r="520" spans="1:6" ht="12.75">
      <c r="A520" s="2"/>
      <c r="B520" s="2"/>
      <c r="C520" s="2"/>
      <c r="D520" s="2"/>
      <c r="E520" s="2"/>
      <c r="F520" s="2"/>
    </row>
    <row r="521" spans="1:6" ht="12.75">
      <c r="A521" s="2"/>
      <c r="B521" s="2"/>
      <c r="C521" s="2"/>
      <c r="D521" s="2"/>
      <c r="E521" s="2"/>
      <c r="F521" s="2"/>
    </row>
    <row r="522" spans="1:6" ht="12.75">
      <c r="A522" s="2"/>
      <c r="B522" s="2"/>
      <c r="C522" s="2"/>
      <c r="D522" s="2"/>
      <c r="E522" s="2"/>
      <c r="F522" s="2"/>
    </row>
    <row r="523" spans="1:6" ht="12.75">
      <c r="A523" s="2"/>
      <c r="B523" s="2"/>
      <c r="C523" s="2"/>
      <c r="D523" s="2"/>
      <c r="E523" s="2"/>
      <c r="F523" s="2"/>
    </row>
    <row r="524" spans="1:6" ht="12.75">
      <c r="A524" s="2"/>
      <c r="B524" s="2"/>
      <c r="C524" s="2"/>
      <c r="D524" s="2"/>
      <c r="E524" s="2"/>
      <c r="F524" s="2"/>
    </row>
    <row r="525" spans="1:6" ht="12.75">
      <c r="A525" s="2"/>
      <c r="B525" s="2"/>
      <c r="C525" s="2"/>
      <c r="D525" s="2"/>
      <c r="E525" s="2"/>
      <c r="F525" s="2"/>
    </row>
    <row r="526" spans="1:6" ht="12.75">
      <c r="A526" s="2"/>
      <c r="B526" s="2"/>
      <c r="C526" s="2"/>
      <c r="D526" s="2"/>
      <c r="E526" s="2"/>
      <c r="F526" s="2"/>
    </row>
    <row r="527" spans="1:6" ht="12.75">
      <c r="A527" s="2"/>
      <c r="B527" s="2"/>
      <c r="C527" s="2"/>
      <c r="D527" s="2"/>
      <c r="E527" s="2"/>
      <c r="F527" s="2"/>
    </row>
    <row r="528" spans="1:6" ht="12.75">
      <c r="A528" s="2"/>
      <c r="B528" s="2"/>
      <c r="C528" s="2"/>
      <c r="D528" s="2"/>
      <c r="E528" s="2"/>
      <c r="F528" s="2"/>
    </row>
    <row r="529" spans="1:6" ht="12.75">
      <c r="A529" s="2"/>
      <c r="B529" s="2"/>
      <c r="C529" s="2"/>
      <c r="D529" s="2"/>
      <c r="E529" s="2"/>
      <c r="F529" s="2"/>
    </row>
    <row r="530" spans="1:6" ht="12.75">
      <c r="A530" s="2"/>
      <c r="B530" s="2"/>
      <c r="C530" s="2"/>
      <c r="D530" s="2"/>
      <c r="E530" s="2"/>
      <c r="F530" s="2"/>
    </row>
    <row r="531" spans="1:6" ht="12.75">
      <c r="A531" s="2"/>
      <c r="B531" s="2"/>
      <c r="C531" s="2"/>
      <c r="D531" s="2"/>
      <c r="E531" s="2"/>
      <c r="F531" s="2"/>
    </row>
    <row r="532" spans="1:6" ht="12.75">
      <c r="A532" s="2"/>
      <c r="B532" s="2"/>
      <c r="C532" s="2"/>
      <c r="D532" s="2"/>
      <c r="E532" s="2"/>
      <c r="F532" s="2"/>
    </row>
    <row r="533" spans="1:6" ht="12.75">
      <c r="A533" s="2"/>
      <c r="B533" s="2"/>
      <c r="C533" s="2"/>
      <c r="D533" s="2"/>
      <c r="E533" s="2"/>
      <c r="F533" s="2"/>
    </row>
    <row r="534" spans="1:6" ht="12.75">
      <c r="A534" s="2"/>
      <c r="B534" s="2"/>
      <c r="C534" s="2"/>
      <c r="D534" s="2"/>
      <c r="E534" s="2"/>
      <c r="F534" s="2"/>
    </row>
    <row r="535" spans="1:6" ht="12.75">
      <c r="A535" s="2"/>
      <c r="B535" s="2"/>
      <c r="C535" s="2"/>
      <c r="D535" s="2"/>
      <c r="E535" s="2"/>
      <c r="F535" s="2"/>
    </row>
    <row r="536" spans="1:6" ht="12.75">
      <c r="A536" s="2"/>
      <c r="B536" s="2"/>
      <c r="C536" s="2"/>
      <c r="D536" s="2"/>
      <c r="E536" s="2"/>
      <c r="F536" s="2"/>
    </row>
    <row r="537" spans="1:6" ht="12.75">
      <c r="A537" s="2"/>
      <c r="B537" s="2"/>
      <c r="C537" s="2"/>
      <c r="D537" s="2"/>
      <c r="E537" s="2"/>
      <c r="F537" s="2"/>
    </row>
    <row r="538" spans="1:6" ht="12.75">
      <c r="A538" s="2"/>
      <c r="B538" s="2"/>
      <c r="C538" s="2"/>
      <c r="D538" s="2"/>
      <c r="E538" s="2"/>
      <c r="F538" s="2"/>
    </row>
    <row r="539" spans="1:6" ht="12.75">
      <c r="A539" s="2"/>
      <c r="B539" s="2"/>
      <c r="C539" s="2"/>
      <c r="D539" s="2"/>
      <c r="E539" s="2"/>
      <c r="F539" s="2"/>
    </row>
    <row r="540" spans="1:6" ht="12.75">
      <c r="A540" s="2"/>
      <c r="B540" s="2"/>
      <c r="C540" s="2"/>
      <c r="D540" s="2"/>
      <c r="E540" s="2"/>
      <c r="F540" s="2"/>
    </row>
    <row r="541" spans="1:6" ht="12.75">
      <c r="A541" s="2"/>
      <c r="B541" s="2"/>
      <c r="C541" s="2"/>
      <c r="D541" s="2"/>
      <c r="E541" s="2"/>
      <c r="F541" s="2"/>
    </row>
    <row r="542" spans="1:6" ht="12.75">
      <c r="A542" s="2"/>
      <c r="B542" s="2"/>
      <c r="C542" s="2"/>
      <c r="D542" s="2"/>
      <c r="E542" s="2"/>
      <c r="F542" s="2"/>
    </row>
    <row r="543" spans="1:6" ht="12.75">
      <c r="A543" s="2"/>
      <c r="B543" s="2"/>
      <c r="C543" s="2"/>
      <c r="D543" s="2"/>
      <c r="E543" s="2"/>
      <c r="F543" s="2"/>
    </row>
    <row r="544" spans="1:6" ht="12.75">
      <c r="A544" s="2"/>
      <c r="B544" s="2"/>
      <c r="C544" s="2"/>
      <c r="D544" s="2"/>
      <c r="E544" s="2"/>
      <c r="F544" s="2"/>
    </row>
    <row r="545" spans="1:6" ht="12.75">
      <c r="A545" s="2"/>
      <c r="B545" s="2"/>
      <c r="C545" s="2"/>
      <c r="D545" s="2"/>
      <c r="E545" s="2"/>
      <c r="F545" s="2"/>
    </row>
    <row r="546" spans="1:6" ht="12.75">
      <c r="A546" s="2"/>
      <c r="B546" s="2"/>
      <c r="C546" s="2"/>
      <c r="D546" s="2"/>
      <c r="E546" s="2"/>
      <c r="F546" s="2"/>
    </row>
    <row r="547" spans="1:6" ht="12.75">
      <c r="A547" s="2"/>
      <c r="B547" s="2"/>
      <c r="C547" s="2"/>
      <c r="D547" s="2"/>
      <c r="E547" s="2"/>
      <c r="F547" s="2"/>
    </row>
    <row r="548" spans="1:6" ht="12.75">
      <c r="A548" s="2"/>
      <c r="B548" s="2"/>
      <c r="C548" s="2"/>
      <c r="D548" s="2"/>
      <c r="E548" s="2"/>
      <c r="F548" s="2"/>
    </row>
    <row r="549" spans="1:6" ht="12.75">
      <c r="A549" s="2"/>
      <c r="B549" s="2"/>
      <c r="C549" s="2"/>
      <c r="D549" s="2"/>
      <c r="E549" s="2"/>
      <c r="F549" s="2"/>
    </row>
    <row r="550" spans="1:6" ht="12.75">
      <c r="A550" s="2"/>
      <c r="B550" s="2"/>
      <c r="C550" s="2"/>
      <c r="D550" s="2"/>
      <c r="E550" s="2"/>
      <c r="F550" s="2"/>
    </row>
    <row r="551" spans="1:6" ht="12.75">
      <c r="A551" s="2"/>
      <c r="B551" s="2"/>
      <c r="C551" s="2"/>
      <c r="D551" s="2"/>
      <c r="E551" s="2"/>
      <c r="F551" s="2"/>
    </row>
    <row r="552" spans="1:6" ht="12.75">
      <c r="A552" s="2"/>
      <c r="B552" s="2"/>
      <c r="C552" s="2"/>
      <c r="D552" s="2"/>
      <c r="E552" s="2"/>
      <c r="F552" s="2"/>
    </row>
    <row r="553" spans="1:6" ht="12.75">
      <c r="A553" s="2"/>
      <c r="B553" s="2"/>
      <c r="C553" s="2"/>
      <c r="D553" s="2"/>
      <c r="E553" s="2"/>
      <c r="F553" s="2"/>
    </row>
    <row r="554" spans="1:6" ht="12.75">
      <c r="A554" s="2"/>
      <c r="B554" s="2"/>
      <c r="C554" s="2"/>
      <c r="D554" s="2"/>
      <c r="E554" s="2"/>
      <c r="F554" s="2"/>
    </row>
    <row r="555" spans="1:6" ht="12.75">
      <c r="A555" s="2"/>
      <c r="B555" s="2"/>
      <c r="C555" s="2"/>
      <c r="D555" s="2"/>
      <c r="E555" s="2"/>
      <c r="F555" s="2"/>
    </row>
    <row r="556" spans="1:6" ht="12.75">
      <c r="A556" s="2"/>
      <c r="B556" s="2"/>
      <c r="C556" s="2"/>
      <c r="D556" s="2"/>
      <c r="E556" s="2"/>
      <c r="F556" s="2"/>
    </row>
    <row r="557" spans="1:6" ht="12.75">
      <c r="A557" s="2"/>
      <c r="B557" s="2"/>
      <c r="C557" s="2"/>
      <c r="D557" s="2"/>
      <c r="E557" s="2"/>
      <c r="F557" s="2"/>
    </row>
    <row r="558" spans="1:6" ht="12.75">
      <c r="A558" s="2"/>
      <c r="B558" s="2"/>
      <c r="C558" s="2"/>
      <c r="D558" s="2"/>
      <c r="E558" s="2"/>
      <c r="F558" s="2"/>
    </row>
    <row r="559" spans="1:6" ht="12.75">
      <c r="A559" s="2"/>
      <c r="B559" s="2"/>
      <c r="C559" s="2"/>
      <c r="D559" s="2"/>
      <c r="E559" s="2"/>
      <c r="F559" s="2"/>
    </row>
    <row r="560" spans="1:6" ht="12.75">
      <c r="A560" s="2"/>
      <c r="B560" s="2"/>
      <c r="C560" s="2"/>
      <c r="D560" s="2"/>
      <c r="E560" s="2"/>
      <c r="F560" s="2"/>
    </row>
    <row r="561" spans="1:6" ht="12.75">
      <c r="A561" s="2"/>
      <c r="B561" s="2"/>
      <c r="C561" s="2"/>
      <c r="D561" s="2"/>
      <c r="E561" s="2"/>
      <c r="F561" s="2"/>
    </row>
    <row r="562" spans="1:6" ht="12.75">
      <c r="A562" s="2"/>
      <c r="B562" s="2"/>
      <c r="C562" s="2"/>
      <c r="D562" s="2"/>
      <c r="E562" s="2"/>
      <c r="F562" s="2"/>
    </row>
    <row r="563" spans="1:6" ht="12.75">
      <c r="A563" s="2"/>
      <c r="B563" s="2"/>
      <c r="C563" s="2"/>
      <c r="D563" s="2"/>
      <c r="E563" s="2"/>
      <c r="F563" s="2"/>
    </row>
    <row r="564" spans="1:6" ht="12.75">
      <c r="A564" s="2"/>
      <c r="B564" s="2"/>
      <c r="C564" s="2"/>
      <c r="D564" s="2"/>
      <c r="E564" s="2"/>
      <c r="F564" s="2"/>
    </row>
    <row r="565" spans="1:6" ht="12.75">
      <c r="A565" s="2"/>
      <c r="B565" s="2"/>
      <c r="C565" s="2"/>
      <c r="D565" s="2"/>
      <c r="E565" s="2"/>
      <c r="F565" s="2"/>
    </row>
    <row r="566" spans="1:6" ht="12.75">
      <c r="A566" s="2"/>
      <c r="B566" s="2"/>
      <c r="C566" s="2"/>
      <c r="D566" s="2"/>
      <c r="E566" s="2"/>
      <c r="F566" s="2"/>
    </row>
    <row r="567" spans="1:6" ht="12.75">
      <c r="A567" s="2"/>
      <c r="B567" s="2"/>
      <c r="C567" s="2"/>
      <c r="D567" s="2"/>
      <c r="E567" s="2"/>
      <c r="F567" s="2"/>
    </row>
    <row r="568" spans="1:6" ht="12.75">
      <c r="A568" s="2"/>
      <c r="B568" s="2"/>
      <c r="C568" s="2"/>
      <c r="D568" s="2"/>
      <c r="E568" s="2"/>
      <c r="F568" s="2"/>
    </row>
    <row r="569" spans="1:6" ht="12.75">
      <c r="A569" s="2"/>
      <c r="B569" s="2"/>
      <c r="C569" s="2"/>
      <c r="D569" s="2"/>
      <c r="E569" s="2"/>
      <c r="F569" s="2"/>
    </row>
    <row r="570" spans="1:6" ht="12.75">
      <c r="A570" s="2"/>
      <c r="B570" s="2"/>
      <c r="C570" s="2"/>
      <c r="D570" s="2"/>
      <c r="E570" s="2"/>
      <c r="F570" s="2"/>
    </row>
    <row r="571" spans="1:6" ht="12.75">
      <c r="A571" s="2"/>
      <c r="B571" s="2"/>
      <c r="C571" s="2"/>
      <c r="D571" s="2"/>
      <c r="E571" s="2"/>
      <c r="F571" s="2"/>
    </row>
    <row r="572" spans="1:6" ht="12.75">
      <c r="A572" s="2"/>
      <c r="B572" s="2"/>
      <c r="C572" s="2"/>
      <c r="D572" s="2"/>
      <c r="E572" s="2"/>
      <c r="F572" s="2"/>
    </row>
    <row r="573" spans="1:6" ht="12.75">
      <c r="A573" s="2"/>
      <c r="B573" s="2"/>
      <c r="C573" s="2"/>
      <c r="D573" s="2"/>
      <c r="E573" s="2"/>
      <c r="F573" s="2"/>
    </row>
    <row r="574" spans="1:6" ht="12.75">
      <c r="A574" s="2"/>
      <c r="B574" s="2"/>
      <c r="C574" s="2"/>
      <c r="D574" s="2"/>
      <c r="E574" s="2"/>
      <c r="F574" s="2"/>
    </row>
    <row r="575" spans="1:6" ht="12.75">
      <c r="A575" s="2"/>
      <c r="B575" s="2"/>
      <c r="C575" s="2"/>
      <c r="D575" s="2"/>
      <c r="E575" s="2"/>
      <c r="F575" s="2"/>
    </row>
    <row r="576" spans="1:6" ht="12.75">
      <c r="A576" s="2"/>
      <c r="B576" s="2"/>
      <c r="C576" s="2"/>
      <c r="D576" s="2"/>
      <c r="E576" s="2"/>
      <c r="F576" s="2"/>
    </row>
    <row r="577" spans="1:6" ht="12.75">
      <c r="A577" s="2"/>
      <c r="B577" s="2"/>
      <c r="C577" s="2"/>
      <c r="D577" s="2"/>
      <c r="E577" s="2"/>
      <c r="F577" s="2"/>
    </row>
    <row r="578" spans="1:6" ht="12.75">
      <c r="A578" s="2"/>
      <c r="B578" s="2"/>
      <c r="C578" s="2"/>
      <c r="D578" s="2"/>
      <c r="E578" s="2"/>
      <c r="F578" s="2"/>
    </row>
    <row r="579" spans="1:6" ht="12.75">
      <c r="A579" s="2"/>
      <c r="B579" s="2"/>
      <c r="C579" s="2"/>
      <c r="D579" s="2"/>
      <c r="E579" s="2"/>
      <c r="F579" s="2"/>
    </row>
    <row r="580" spans="1:6" ht="12.75">
      <c r="A580" s="2"/>
      <c r="B580" s="2"/>
      <c r="C580" s="2"/>
      <c r="D580" s="2"/>
      <c r="E580" s="2"/>
      <c r="F580" s="2"/>
    </row>
    <row r="581" spans="1:6" ht="12.75">
      <c r="A581" s="2"/>
      <c r="B581" s="2"/>
      <c r="C581" s="2"/>
      <c r="D581" s="2"/>
      <c r="E581" s="2"/>
      <c r="F581" s="2"/>
    </row>
    <row r="582" spans="1:6" ht="12.75">
      <c r="A582" s="2"/>
      <c r="B582" s="2"/>
      <c r="C582" s="2"/>
      <c r="D582" s="2"/>
      <c r="E582" s="2"/>
      <c r="F582" s="2"/>
    </row>
    <row r="583" spans="1:6" ht="12.75">
      <c r="A583" s="2"/>
      <c r="B583" s="2"/>
      <c r="C583" s="2"/>
      <c r="D583" s="2"/>
      <c r="E583" s="2"/>
      <c r="F583" s="2"/>
    </row>
    <row r="584" spans="1:6" ht="12.75">
      <c r="A584" s="2"/>
      <c r="B584" s="2"/>
      <c r="C584" s="2"/>
      <c r="D584" s="2"/>
      <c r="E584" s="2"/>
      <c r="F584" s="2"/>
    </row>
    <row r="585" spans="1:6" ht="12.75">
      <c r="A585" s="2"/>
      <c r="B585" s="2"/>
      <c r="C585" s="2"/>
      <c r="D585" s="2"/>
      <c r="E585" s="2"/>
      <c r="F585" s="2"/>
    </row>
    <row r="586" spans="1:6" ht="12.75">
      <c r="A586" s="2"/>
      <c r="B586" s="2"/>
      <c r="C586" s="2"/>
      <c r="D586" s="2"/>
      <c r="E586" s="2"/>
      <c r="F586" s="2"/>
    </row>
    <row r="587" spans="1:6" ht="12.75">
      <c r="A587" s="2"/>
      <c r="B587" s="2"/>
      <c r="C587" s="2"/>
      <c r="D587" s="2"/>
      <c r="E587" s="2"/>
      <c r="F587" s="2"/>
    </row>
    <row r="588" spans="1:6" ht="12.75">
      <c r="A588" s="2"/>
      <c r="B588" s="2"/>
      <c r="C588" s="2"/>
      <c r="D588" s="2"/>
      <c r="E588" s="2"/>
      <c r="F588" s="2"/>
    </row>
    <row r="589" spans="1:6" ht="12.75">
      <c r="A589" s="2"/>
      <c r="B589" s="2"/>
      <c r="C589" s="2"/>
      <c r="D589" s="2"/>
      <c r="E589" s="2"/>
      <c r="F589" s="2"/>
    </row>
    <row r="590" spans="1:6" ht="12.75">
      <c r="A590" s="2"/>
      <c r="B590" s="2"/>
      <c r="C590" s="2"/>
      <c r="D590" s="2"/>
      <c r="E590" s="2"/>
      <c r="F590" s="2"/>
    </row>
    <row r="591" spans="1:6" ht="12.75">
      <c r="A591" s="2"/>
      <c r="B591" s="2"/>
      <c r="C591" s="2"/>
      <c r="D591" s="2"/>
      <c r="E591" s="2"/>
      <c r="F591" s="2"/>
    </row>
    <row r="592" spans="1:6" ht="12.75">
      <c r="A592" s="2"/>
      <c r="B592" s="2"/>
      <c r="C592" s="2"/>
      <c r="D592" s="2"/>
      <c r="E592" s="2"/>
      <c r="F592" s="2"/>
    </row>
    <row r="593" spans="1:6" ht="12.75">
      <c r="A593" s="2"/>
      <c r="B593" s="2"/>
      <c r="C593" s="2"/>
      <c r="D593" s="2"/>
      <c r="E593" s="2"/>
      <c r="F593" s="2"/>
    </row>
    <row r="594" spans="1:6" ht="12.75">
      <c r="A594" s="2"/>
      <c r="B594" s="2"/>
      <c r="C594" s="2"/>
      <c r="D594" s="2"/>
      <c r="E594" s="2"/>
      <c r="F594" s="2"/>
    </row>
    <row r="595" spans="1:6" ht="12.75">
      <c r="A595" s="2"/>
      <c r="B595" s="2"/>
      <c r="C595" s="2"/>
      <c r="D595" s="2"/>
      <c r="E595" s="2"/>
      <c r="F595" s="2"/>
    </row>
    <row r="596" spans="1:6" ht="12.75">
      <c r="A596" s="2"/>
      <c r="B596" s="2"/>
      <c r="C596" s="2"/>
      <c r="D596" s="2"/>
      <c r="E596" s="2"/>
      <c r="F596" s="2"/>
    </row>
    <row r="597" spans="1:6" ht="12.75">
      <c r="A597" s="2"/>
      <c r="B597" s="2"/>
      <c r="C597" s="2"/>
      <c r="D597" s="2"/>
      <c r="E597" s="2"/>
      <c r="F597" s="2"/>
    </row>
    <row r="598" spans="1:6" ht="12.75">
      <c r="A598" s="2"/>
      <c r="B598" s="2"/>
      <c r="C598" s="2"/>
      <c r="D598" s="2"/>
      <c r="E598" s="2"/>
      <c r="F598" s="2"/>
    </row>
    <row r="599" spans="1:6" ht="12.75">
      <c r="A599" s="2"/>
      <c r="B599" s="2"/>
      <c r="C599" s="2"/>
      <c r="D599" s="2"/>
      <c r="E599" s="2"/>
      <c r="F599" s="2"/>
    </row>
    <row r="600" spans="1:6" ht="12.75">
      <c r="A600" s="2"/>
      <c r="B600" s="2"/>
      <c r="C600" s="2"/>
      <c r="D600" s="2"/>
      <c r="E600" s="2"/>
      <c r="F600" s="2"/>
    </row>
    <row r="601" spans="1:6" ht="12.75">
      <c r="A601" s="2"/>
      <c r="B601" s="2"/>
      <c r="C601" s="2"/>
      <c r="D601" s="2"/>
      <c r="E601" s="2"/>
      <c r="F601" s="2"/>
    </row>
    <row r="602" spans="1:6" ht="12.75">
      <c r="A602" s="2"/>
      <c r="B602" s="2"/>
      <c r="C602" s="2"/>
      <c r="D602" s="2"/>
      <c r="E602" s="2"/>
      <c r="F602" s="2"/>
    </row>
    <row r="603" spans="1:6" ht="12.75">
      <c r="A603" s="2"/>
      <c r="B603" s="2"/>
      <c r="C603" s="2"/>
      <c r="D603" s="2"/>
      <c r="E603" s="2"/>
      <c r="F603" s="2"/>
    </row>
    <row r="604" spans="1:6" ht="12.75">
      <c r="A604" s="2"/>
      <c r="B604" s="2"/>
      <c r="C604" s="2"/>
      <c r="D604" s="2"/>
      <c r="E604" s="2"/>
      <c r="F604" s="2"/>
    </row>
    <row r="605" spans="1:6" ht="12.75">
      <c r="A605" s="2"/>
      <c r="B605" s="2"/>
      <c r="C605" s="2"/>
      <c r="D605" s="2"/>
      <c r="E605" s="2"/>
      <c r="F605" s="2"/>
    </row>
    <row r="606" spans="1:6" ht="12.75">
      <c r="A606" s="2"/>
      <c r="B606" s="2"/>
      <c r="C606" s="2"/>
      <c r="D606" s="2"/>
      <c r="E606" s="2"/>
      <c r="F606" s="2"/>
    </row>
  </sheetData>
  <printOptions/>
  <pageMargins left="0.7874015748031497" right="0.26" top="1.299212598425197" bottom="0.64" header="1.0236220472440944" footer="0.5118110236220472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U.M. Wołczyn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Kasia</cp:lastModifiedBy>
  <cp:lastPrinted>2007-03-19T08:44:48Z</cp:lastPrinted>
  <dcterms:created xsi:type="dcterms:W3CDTF">2000-09-21T07:22:22Z</dcterms:created>
  <dcterms:modified xsi:type="dcterms:W3CDTF">2007-03-19T08:49:29Z</dcterms:modified>
  <cp:category/>
  <cp:version/>
  <cp:contentType/>
  <cp:contentStatus/>
</cp:coreProperties>
</file>